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96" windowWidth="19320" windowHeight="9528" activeTab="0"/>
  </bookViews>
  <sheets>
    <sheet name="Battery Calculations" sheetId="4" r:id="rId1"/>
    <sheet name="Loop 1" sheetId="5" r:id="rId2"/>
    <sheet name="Loop 2" sheetId="6" r:id="rId3"/>
    <sheet name="Loop 3" sheetId="7" r:id="rId4"/>
    <sheet name="Loop 4" sheetId="1" r:id="rId5"/>
    <sheet name="Sheet2" sheetId="2" state="hidden" r:id="rId6"/>
    <sheet name="Sheet3" sheetId="3" r:id="rId7"/>
  </sheets>
  <definedNames/>
  <calcPr calcId="152511"/>
</workbook>
</file>

<file path=xl/sharedStrings.xml><?xml version="1.0" encoding="utf-8"?>
<sst xmlns="http://schemas.openxmlformats.org/spreadsheetml/2006/main" count="464" uniqueCount="188">
  <si>
    <t>EV-OP Output Module</t>
  </si>
  <si>
    <t>EV-IP Input Module</t>
  </si>
  <si>
    <t>EV-SIO Single Input/Output module</t>
  </si>
  <si>
    <t>EV-SCM Sounder Control Module</t>
  </si>
  <si>
    <t>EV-ZMU Zone Monitor Module</t>
  </si>
  <si>
    <t>EV-SBM Sounder Booster Module</t>
  </si>
  <si>
    <t>Nittan Model Name</t>
  </si>
  <si>
    <t>EV-P Optical smoke detector</t>
  </si>
  <si>
    <t>EV-DP Dual Optical smoke detector</t>
  </si>
  <si>
    <t>EV-H-A1R RATE OF RISE HEAT DETECTOR</t>
  </si>
  <si>
    <t xml:space="preserve">EV-H-CS HEAT DETECTOR </t>
  </si>
  <si>
    <t>EV-PH combination optical smoke and heat detector</t>
  </si>
  <si>
    <t>EV-DPH-CS Dual Optical/Heat Detector</t>
  </si>
  <si>
    <t>EV-PS Optical Detector with In-built Sounder</t>
  </si>
  <si>
    <t>EV-MCP RESET Manual Call Point</t>
  </si>
  <si>
    <t>EV-MCP RESET Waterproof Manual Call Point</t>
  </si>
  <si>
    <t>EV-PSBCN Beacon Base (for EV-PS)</t>
  </si>
  <si>
    <t>EV-DPH-A2R Dual Optical/Heat Detector</t>
  </si>
  <si>
    <t>EV-B-SCI -ve Isolator Base</t>
  </si>
  <si>
    <t>EV-DIN-SCI DIN Rail -ve Isolator</t>
  </si>
  <si>
    <t>EV-SPB-SCI Waterproof -ve Isolator Base</t>
  </si>
  <si>
    <t>EV-SDR Sounder</t>
  </si>
  <si>
    <t>EV-SDR Base Sounder with integral Base</t>
  </si>
  <si>
    <t>EV-HIOP-SB High Output Sounder Beacon</t>
  </si>
  <si>
    <t>EV-HIOP-BCN High Output Beacon</t>
  </si>
  <si>
    <t>EV-HIOP-SDR High Output Sounder</t>
  </si>
  <si>
    <t>EV-HIOP-SB-SCI High Output Sounder Beacon with -ve Isolator</t>
  </si>
  <si>
    <t>UB-6-EV Standard base for use with Evolution detectors</t>
  </si>
  <si>
    <t>STB-4SE-EV DEEP BASE for use with Evolution detectors</t>
  </si>
  <si>
    <t>EV-MCP2-SCI-IP24 Manual Call Point with -ve Isolator</t>
  </si>
  <si>
    <t>EV-MCP2-SCI-IP67 Waterproof Manual Call Point -ve Isolator</t>
  </si>
  <si>
    <t>EV-Firebeam Detector</t>
  </si>
  <si>
    <t>EV-LASD1 Aspirating Detector</t>
  </si>
  <si>
    <t>EV-LASD2 Aspirating Detector</t>
  </si>
  <si>
    <t>EV-HIOP-BCN-SCI High Output Beacon with -ve Isolator</t>
  </si>
  <si>
    <t>EV-HIOP-SDR-SCI High Output Sounder with -ve Isolator</t>
  </si>
  <si>
    <t>EV-24VRL Addressable Relay Base</t>
  </si>
  <si>
    <t>EV-MCP2-IP24 Manual Call Point</t>
  </si>
  <si>
    <t>EV-MCP2-IP67 Waterproof Manual Call Point</t>
  </si>
  <si>
    <t>EV-PYSBCN Beacon Base (for EV-PYS)</t>
  </si>
  <si>
    <t>EV-PYS Optical Detector with In-built Sounder</t>
  </si>
  <si>
    <t>EV-2I1O Dual Input/Single Output module</t>
  </si>
  <si>
    <t>EV-3IO Triple Input/Output module</t>
  </si>
  <si>
    <t>EV-IP2 Dual Input module</t>
  </si>
  <si>
    <t>EV-OP2 Single Output module</t>
  </si>
  <si>
    <t>EV-SCM2 Dual Output Sounder Control Module</t>
  </si>
  <si>
    <t>EV-Mini IP2 Miniature Input module</t>
  </si>
  <si>
    <t>EV-IO-420 4-20mA Input/Relay Output module</t>
  </si>
  <si>
    <t>EV-ZMU2 Dual Input Zone Monitor Module</t>
  </si>
  <si>
    <t>Qty</t>
  </si>
  <si>
    <t>Standby Sum (A)</t>
  </si>
  <si>
    <t>Standby (A)</t>
  </si>
  <si>
    <t>Alarm (A)</t>
  </si>
  <si>
    <t xml:space="preserve">Alarm Sum (A) </t>
  </si>
  <si>
    <t>Remark</t>
  </si>
  <si>
    <t>Loop Power Current consumption checker</t>
  </si>
  <si>
    <t>STA-R1 Remote Indicator</t>
  </si>
  <si>
    <t>Total Quantity of Addressable devices per loop</t>
  </si>
  <si>
    <t>Standby Sum</t>
  </si>
  <si>
    <t>Alarm Sum</t>
  </si>
  <si>
    <t>Cable Parameters</t>
  </si>
  <si>
    <t>Cable manufacturer</t>
  </si>
  <si>
    <t>Resistance (per Core)</t>
  </si>
  <si>
    <t>Inductance (per Core)</t>
  </si>
  <si>
    <t>Capacitance (Core to Core)</t>
  </si>
  <si>
    <t>Ohms per KM</t>
  </si>
  <si>
    <t>mH per km</t>
  </si>
  <si>
    <t>uF per km</t>
  </si>
  <si>
    <t>Select Cable type</t>
  </si>
  <si>
    <t>Fire Tuff (2 Core) 1.0mm</t>
  </si>
  <si>
    <t>Fire Tuff (2 Core ) 1.5mm</t>
  </si>
  <si>
    <t>Fire Tuff (2 Core ) 2.5mm</t>
  </si>
  <si>
    <t>Fire Tuff (3/4 core) 1.0mm</t>
  </si>
  <si>
    <t>Fire Tuff (3/4 core) 1.5mm</t>
  </si>
  <si>
    <t>Fire Tuff (3/4 core) 2.5mm</t>
  </si>
  <si>
    <t>FP200 1.0mm</t>
  </si>
  <si>
    <t>FP200 1.5mm</t>
  </si>
  <si>
    <t>FP200 2.5mm</t>
  </si>
  <si>
    <t>MICC 1.0mm</t>
  </si>
  <si>
    <t>MICC 1.5mm</t>
  </si>
  <si>
    <t>MICC 2.5mm</t>
  </si>
  <si>
    <t>SWA (2 core)</t>
  </si>
  <si>
    <t>Ventcroft No Burn Standard 1.5mm</t>
  </si>
  <si>
    <t>Ventcrogt No Burn Standard 2.5mm</t>
  </si>
  <si>
    <t>Ventcroft No Burn enhanced 1.5mm</t>
  </si>
  <si>
    <t>Ventcroft No Burn enhanced 2.5mm</t>
  </si>
  <si>
    <t>Evolution +</t>
  </si>
  <si>
    <t>CPU Points</t>
  </si>
  <si>
    <t>Points Sum</t>
  </si>
  <si>
    <t>Ohms/KM</t>
  </si>
  <si>
    <t>Loop Voltage Drop in Alarm</t>
  </si>
  <si>
    <t>Project</t>
  </si>
  <si>
    <t>Completed by</t>
  </si>
  <si>
    <t>Date</t>
  </si>
  <si>
    <t>PANEL</t>
  </si>
  <si>
    <t>Quiescent Load</t>
  </si>
  <si>
    <t>Fire Alarm Load</t>
  </si>
  <si>
    <t>evolution 1</t>
  </si>
  <si>
    <t>I(A)</t>
  </si>
  <si>
    <t>X</t>
  </si>
  <si>
    <t>Total</t>
  </si>
  <si>
    <t>Display &amp; Loop Driver Card</t>
  </si>
  <si>
    <t>Sensor  / Loop Current*</t>
  </si>
  <si>
    <t>ANCILLARY SUPPLY OUTPUT (AUX)</t>
  </si>
  <si>
    <t>Sounder Output A</t>
  </si>
  <si>
    <t>Sounder Output B</t>
  </si>
  <si>
    <t>ΣQuiescent Load</t>
  </si>
  <si>
    <t>ΣAlarm Load</t>
  </si>
  <si>
    <t xml:space="preserve">Standby Duration (hours) = </t>
  </si>
  <si>
    <t>Hr</t>
  </si>
  <si>
    <t>X(2 x 0.5) =</t>
  </si>
  <si>
    <t>→ (carry forward) +</t>
  </si>
  <si>
    <t>Total Load (Quiescent + Alarm) =</t>
  </si>
  <si>
    <t>X 1.25 (Battery De-rating factor)** =</t>
  </si>
  <si>
    <t>Select Nittan evo+ Panel</t>
  </si>
  <si>
    <t>Q</t>
  </si>
  <si>
    <t>A</t>
  </si>
  <si>
    <t>OFF</t>
  </si>
  <si>
    <t>Chassis</t>
  </si>
  <si>
    <t>DIM</t>
  </si>
  <si>
    <t>ON</t>
  </si>
  <si>
    <r>
      <t xml:space="preserve">Loop Driver </t>
    </r>
    <r>
      <rPr>
        <b/>
        <i/>
        <sz val="8"/>
        <rFont val="Arial"/>
        <family val="2"/>
      </rPr>
      <t>Loop 1</t>
    </r>
  </si>
  <si>
    <t>MXP-503</t>
  </si>
  <si>
    <r>
      <t xml:space="preserve">Loop Driver </t>
    </r>
    <r>
      <rPr>
        <b/>
        <i/>
        <sz val="8"/>
        <rFont val="Arial"/>
        <family val="2"/>
      </rPr>
      <t>Loop 2</t>
    </r>
  </si>
  <si>
    <t>MXP-509</t>
  </si>
  <si>
    <t>NONE</t>
  </si>
  <si>
    <r>
      <t xml:space="preserve">Loop Driver </t>
    </r>
    <r>
      <rPr>
        <b/>
        <i/>
        <sz val="8"/>
        <rFont val="Arial"/>
        <family val="2"/>
      </rPr>
      <t>Loop 3</t>
    </r>
  </si>
  <si>
    <t>MXP-507</t>
  </si>
  <si>
    <r>
      <t xml:space="preserve">Loop Driver </t>
    </r>
    <r>
      <rPr>
        <b/>
        <i/>
        <sz val="8"/>
        <rFont val="Arial"/>
        <family val="2"/>
      </rPr>
      <t>Loop 4</t>
    </r>
  </si>
  <si>
    <t>MXP-532</t>
  </si>
  <si>
    <t>MXP-512</t>
  </si>
  <si>
    <t>MXP-504</t>
  </si>
  <si>
    <t>MXP-504/508</t>
  </si>
  <si>
    <t>OPTIONS:</t>
  </si>
  <si>
    <t>SND 85dB</t>
  </si>
  <si>
    <t>LCD DIMMING MODE</t>
  </si>
  <si>
    <t>SND 90dB</t>
  </si>
  <si>
    <t>NETWORK</t>
  </si>
  <si>
    <t>ROUTING / RELAY CARDS</t>
  </si>
  <si>
    <t>LED CARDS - NBR OF LEDS</t>
  </si>
  <si>
    <t>PRINTER</t>
  </si>
  <si>
    <t>FAT/FBF/FSD/ÜE INTERFACE</t>
  </si>
  <si>
    <t>MINIMUM ENCLOSURE</t>
  </si>
  <si>
    <t>Total of device points</t>
  </si>
  <si>
    <t>MX5 Pro supports a maximum of 1000 device points</t>
  </si>
  <si>
    <t xml:space="preserve"> MX4 pro supports Maximum of 942 device points</t>
  </si>
  <si>
    <t>Device Programming Points Summary</t>
  </si>
  <si>
    <t>Loop 1</t>
  </si>
  <si>
    <t>Loop2</t>
  </si>
  <si>
    <t>Loop 3</t>
  </si>
  <si>
    <t>Loop 4</t>
  </si>
  <si>
    <t>Circuit</t>
  </si>
  <si>
    <t>Status</t>
  </si>
  <si>
    <t>Volt Drop</t>
  </si>
  <si>
    <t>Devices</t>
  </si>
  <si>
    <t xml:space="preserve">Cable </t>
  </si>
  <si>
    <t>Type</t>
  </si>
  <si>
    <t>Loop</t>
  </si>
  <si>
    <t>Max Loop</t>
  </si>
  <si>
    <t>Evolution 1 has 8 leds active in alarm, Evo + panel can have up to 10 leds active (set by Config)</t>
  </si>
  <si>
    <t>Maximum No of leds Active in alarm (Determined by Panel spec)</t>
  </si>
  <si>
    <t>Length(M)</t>
  </si>
  <si>
    <t>Nittan Evolution  Battery and loop Calculation Spreadsheet Tool</t>
  </si>
  <si>
    <t>For Evolution + panels Select panel size, For Evolution 1 use lower calculation panel.</t>
  </si>
  <si>
    <t>Enter Loop Device quantities into the LOOP page tables</t>
  </si>
  <si>
    <t>Set Quantity of device LEDs active in alarm. In Evolution + panels the quantity can be set</t>
  </si>
  <si>
    <t>in the configuration, For Evolution 1 the quantity is fixed at 8 per loop.</t>
  </si>
  <si>
    <t>The User must set the LED quantity in the Table. This is important as it can have significant</t>
  </si>
  <si>
    <t>impact on the loop calculation.</t>
  </si>
  <si>
    <t>In the Loop Table select the type of cable to be used in the Installation.</t>
  </si>
  <si>
    <t>Enter an estimate of the Installed loop cable length.</t>
  </si>
  <si>
    <t>EV-AV2 Sounder/Beacon (low volume)</t>
  </si>
  <si>
    <t>EV-AV2 Sounder/Beacon Base (low volume)</t>
  </si>
  <si>
    <t>Maximum suggested loop load is 80% of 500mA</t>
  </si>
  <si>
    <t>Calculated Maximum cable length in Metres</t>
  </si>
  <si>
    <t>Enter Total loop Cable length in Metres</t>
  </si>
  <si>
    <t>The Volt Drop calculation is made as worst case scenario with the full</t>
  </si>
  <si>
    <t>load being applied to the end of the cable length.</t>
  </si>
  <si>
    <t>The loop Quiescent and alarm loads will be automatically entered into the Battery  Standby</t>
  </si>
  <si>
    <t xml:space="preserve">Calculator. Additional loadings must be added into the battery Calculation tables such as </t>
  </si>
  <si>
    <t xml:space="preserve">Conventional sounder loads and accessories . Check that the Standby Time has been set to </t>
  </si>
  <si>
    <t>the specified timescale for the installation.</t>
  </si>
  <si>
    <t>EV-MINI I/P Mini Input Module</t>
  </si>
  <si>
    <t>EV-AV2 Sounder/Beacon Base (High volume) Default setting</t>
  </si>
  <si>
    <t>EV-AV2 Sounder/Beacon  (High volume) Default setting</t>
  </si>
  <si>
    <t xml:space="preserve">Instructions    For Evolution 1 and EVO + Control Panels </t>
  </si>
  <si>
    <t>Note:-Not Suitable For MX4000 (MXPro 4) Panels.Use the older Loop calculator program</t>
  </si>
  <si>
    <t>EVO+ &amp; Evolution 1 Panels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</si>
</sst>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00"/>
    <numFmt numFmtId="166" formatCode="0.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</cellStyleXfs>
  <cellXfs count="177">
    <xf numFmtId="0" fontId="0" fillId="0" borderId="0" xfId="0"/>
    <xf numFmtId="0" fontId="0" fillId="4" borderId="1" xfId="0" applyFill="1" applyBorder="1" applyProtection="1">
      <protection locked="0"/>
    </xf>
    <xf numFmtId="0" fontId="0" fillId="0" borderId="2" xfId="0" applyFill="1" applyBorder="1" applyProtection="1">
      <protection/>
    </xf>
    <xf numFmtId="0" fontId="0" fillId="0" borderId="2" xfId="0" applyBorder="1" applyProtection="1">
      <protection/>
    </xf>
    <xf numFmtId="165" fontId="0" fillId="0" borderId="2" xfId="0" applyNumberFormat="1" applyBorder="1" applyProtection="1">
      <protection/>
    </xf>
    <xf numFmtId="165" fontId="0" fillId="5" borderId="2" xfId="0" applyNumberFormat="1" applyFill="1" applyBorder="1" applyProtection="1">
      <protection/>
    </xf>
    <xf numFmtId="165" fontId="0" fillId="6" borderId="2" xfId="0" applyNumberFormat="1" applyFill="1" applyBorder="1" applyProtection="1">
      <protection locked="0"/>
    </xf>
    <xf numFmtId="0" fontId="14" fillId="0" borderId="2" xfId="0" applyFont="1" applyBorder="1" applyProtection="1">
      <protection/>
    </xf>
    <xf numFmtId="166" fontId="0" fillId="6" borderId="3" xfId="0" applyNumberFormat="1" applyFill="1" applyBorder="1" applyProtection="1">
      <protection locked="0"/>
    </xf>
    <xf numFmtId="0" fontId="15" fillId="6" borderId="2" xfId="0" applyFont="1" applyFill="1" applyBorder="1" applyProtection="1">
      <protection locked="0"/>
    </xf>
    <xf numFmtId="49" fontId="13" fillId="6" borderId="2" xfId="0" applyNumberFormat="1" applyFont="1" applyFill="1" applyBorder="1" applyProtection="1">
      <protection locked="0"/>
    </xf>
    <xf numFmtId="0" fontId="1" fillId="0" borderId="2" xfId="0" applyFont="1" applyFill="1" applyBorder="1" applyProtection="1">
      <protection/>
    </xf>
    <xf numFmtId="0" fontId="1" fillId="0" borderId="2" xfId="0" applyFont="1" applyBorder="1" applyProtection="1">
      <protection/>
    </xf>
    <xf numFmtId="0" fontId="6" fillId="0" borderId="4" xfId="22" applyFont="1" applyBorder="1" applyAlignment="1" applyProtection="1">
      <alignment horizontal="center" vertical="center" wrapText="1"/>
      <protection locked="0"/>
    </xf>
    <xf numFmtId="0" fontId="6" fillId="0" borderId="5" xfId="22" applyFont="1" applyBorder="1" applyAlignment="1" applyProtection="1">
      <alignment horizontal="center" vertical="center" wrapText="1"/>
      <protection locked="0"/>
    </xf>
    <xf numFmtId="0" fontId="6" fillId="0" borderId="6" xfId="22" applyFont="1" applyBorder="1" applyAlignment="1" applyProtection="1">
      <alignment horizontal="center" vertical="center" wrapText="1"/>
      <protection locked="0"/>
    </xf>
    <xf numFmtId="0" fontId="8" fillId="0" borderId="7" xfId="22" applyFont="1" applyBorder="1" applyAlignment="1" applyProtection="1">
      <alignment horizontal="center" vertical="center"/>
      <protection locked="0"/>
    </xf>
    <xf numFmtId="0" fontId="8" fillId="7" borderId="7" xfId="20" applyFont="1" applyFill="1" applyBorder="1" applyAlignment="1" applyProtection="1">
      <alignment horizontal="center" vertical="center"/>
      <protection locked="0"/>
    </xf>
    <xf numFmtId="0" fontId="8" fillId="0" borderId="7" xfId="22" applyFont="1" applyFill="1" applyBorder="1" applyAlignment="1" applyProtection="1">
      <alignment horizontal="center" vertical="center"/>
      <protection locked="0"/>
    </xf>
    <xf numFmtId="0" fontId="8" fillId="0" borderId="7" xfId="21" applyFont="1" applyFill="1" applyBorder="1" applyAlignment="1" applyProtection="1">
      <alignment horizontal="center" vertical="center"/>
      <protection locked="0"/>
    </xf>
    <xf numFmtId="0" fontId="8" fillId="0" borderId="7" xfId="20" applyFont="1" applyFill="1" applyBorder="1" applyAlignment="1" applyProtection="1">
      <alignment horizontal="center" vertical="center"/>
      <protection locked="0"/>
    </xf>
    <xf numFmtId="0" fontId="6" fillId="0" borderId="7" xfId="2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8" borderId="8" xfId="0" applyFont="1" applyFill="1" applyBorder="1" applyProtection="1"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7" borderId="2" xfId="2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2" xfId="2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Protection="1">
      <protection locked="0"/>
    </xf>
    <xf numFmtId="0" fontId="12" fillId="7" borderId="2" xfId="2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6" fillId="0" borderId="12" xfId="21" applyFont="1" applyFill="1" applyBorder="1" applyAlignment="1" applyProtection="1">
      <alignment horizontal="center" vertical="center"/>
      <protection/>
    </xf>
    <xf numFmtId="0" fontId="8" fillId="7" borderId="2" xfId="20" applyFont="1" applyFill="1" applyBorder="1" applyAlignment="1" applyProtection="1">
      <alignment horizontal="center" vertical="center"/>
      <protection/>
    </xf>
    <xf numFmtId="0" fontId="8" fillId="7" borderId="12" xfId="2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8" fillId="7" borderId="3" xfId="0" applyFont="1" applyFill="1" applyBorder="1" applyAlignment="1" applyProtection="1">
      <alignment horizontal="center" vertical="center"/>
      <protection/>
    </xf>
    <xf numFmtId="0" fontId="8" fillId="7" borderId="2" xfId="0" applyFont="1" applyFill="1" applyBorder="1" applyAlignment="1" applyProtection="1">
      <alignment horizontal="center" vertical="center"/>
      <protection/>
    </xf>
    <xf numFmtId="0" fontId="8" fillId="7" borderId="2" xfId="2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3" xfId="21" applyFont="1" applyFill="1" applyBorder="1" applyAlignment="1" applyProtection="1">
      <alignment horizontal="center" vertical="center"/>
      <protection/>
    </xf>
    <xf numFmtId="0" fontId="8" fillId="7" borderId="3" xfId="20" applyFont="1" applyFill="1" applyBorder="1" applyAlignment="1" applyProtection="1">
      <alignment horizontal="center" vertical="center"/>
      <protection/>
    </xf>
    <xf numFmtId="0" fontId="8" fillId="0" borderId="3" xfId="20" applyFont="1" applyFill="1" applyBorder="1" applyAlignment="1" applyProtection="1">
      <alignment horizontal="center" vertical="center"/>
      <protection/>
    </xf>
    <xf numFmtId="0" fontId="6" fillId="0" borderId="13" xfId="22" applyFont="1" applyBorder="1" applyAlignment="1" applyProtection="1">
      <alignment horizontal="left" vertical="center" wrapText="1"/>
      <protection/>
    </xf>
    <xf numFmtId="0" fontId="8" fillId="0" borderId="14" xfId="22" applyFont="1" applyBorder="1" applyProtection="1">
      <alignment/>
      <protection/>
    </xf>
    <xf numFmtId="0" fontId="8" fillId="7" borderId="14" xfId="20" applyFont="1" applyFill="1" applyBorder="1" applyProtection="1">
      <protection/>
    </xf>
    <xf numFmtId="0" fontId="8" fillId="0" borderId="14" xfId="22" applyFont="1" applyFill="1" applyBorder="1" applyProtection="1">
      <alignment/>
      <protection/>
    </xf>
    <xf numFmtId="0" fontId="8" fillId="0" borderId="14" xfId="21" applyFont="1" applyFill="1" applyBorder="1" applyProtection="1">
      <protection/>
    </xf>
    <xf numFmtId="0" fontId="6" fillId="0" borderId="14" xfId="22" applyFont="1" applyFill="1" applyBorder="1" applyProtection="1">
      <alignment/>
      <protection/>
    </xf>
    <xf numFmtId="0" fontId="7" fillId="0" borderId="8" xfId="0" applyFont="1" applyBorder="1" applyProtection="1">
      <protection/>
    </xf>
    <xf numFmtId="0" fontId="7" fillId="0" borderId="0" xfId="0" applyFont="1" applyProtection="1">
      <protection/>
    </xf>
    <xf numFmtId="0" fontId="7" fillId="0" borderId="15" xfId="0" applyFont="1" applyFill="1" applyBorder="1" applyProtection="1">
      <protection/>
    </xf>
    <xf numFmtId="0" fontId="0" fillId="0" borderId="0" xfId="0" applyProtection="1">
      <protection/>
    </xf>
    <xf numFmtId="1" fontId="7" fillId="0" borderId="8" xfId="0" applyNumberFormat="1" applyFont="1" applyBorder="1" applyProtection="1">
      <protection/>
    </xf>
    <xf numFmtId="0" fontId="6" fillId="0" borderId="0" xfId="22" applyFont="1" applyAlignment="1" applyProtection="1">
      <alignment horizontal="left" vertical="center"/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4" borderId="0" xfId="0" applyFill="1" applyProtection="1">
      <protection locked="0"/>
    </xf>
    <xf numFmtId="0" fontId="13" fillId="0" borderId="2" xfId="0" applyFont="1" applyFill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Fill="1" applyBorder="1" applyProtection="1">
      <protection locked="0"/>
    </xf>
    <xf numFmtId="0" fontId="13" fillId="4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66" fontId="0" fillId="4" borderId="1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165" fontId="1" fillId="0" borderId="2" xfId="0" applyNumberFormat="1" applyFont="1" applyBorder="1" applyProtection="1">
      <protection locked="0"/>
    </xf>
    <xf numFmtId="166" fontId="0" fillId="0" borderId="2" xfId="0" applyNumberFormat="1" applyFill="1" applyBorder="1" applyProtection="1">
      <protection locked="0"/>
    </xf>
    <xf numFmtId="166" fontId="0" fillId="0" borderId="3" xfId="0" applyNumberFormat="1" applyBorder="1" applyProtection="1">
      <protection locked="0"/>
    </xf>
    <xf numFmtId="0" fontId="15" fillId="0" borderId="2" xfId="0" applyFont="1" applyFill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9" borderId="0" xfId="0" applyNumberFormat="1" applyFill="1" applyBorder="1" applyProtection="1">
      <protection locked="0"/>
    </xf>
    <xf numFmtId="0" fontId="0" fillId="9" borderId="0" xfId="0" applyFill="1" applyBorder="1" applyProtection="1">
      <protection locked="0"/>
    </xf>
    <xf numFmtId="166" fontId="0" fillId="9" borderId="20" xfId="0" applyNumberFormat="1" applyFill="1" applyBorder="1" applyProtection="1">
      <protection locked="0"/>
    </xf>
    <xf numFmtId="166" fontId="0" fillId="9" borderId="21" xfId="0" applyNumberFormat="1" applyFill="1" applyBorder="1" applyProtection="1">
      <protection locked="0"/>
    </xf>
    <xf numFmtId="0" fontId="16" fillId="0" borderId="12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13" fillId="0" borderId="3" xfId="0" applyFont="1" applyBorder="1" applyProtection="1">
      <protection locked="0"/>
    </xf>
    <xf numFmtId="2" fontId="13" fillId="0" borderId="3" xfId="0" applyNumberFormat="1" applyFont="1" applyBorder="1" applyProtection="1">
      <protection locked="0"/>
    </xf>
    <xf numFmtId="2" fontId="13" fillId="0" borderId="21" xfId="0" applyNumberFormat="1" applyFont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0" fillId="0" borderId="21" xfId="0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165" fontId="0" fillId="0" borderId="21" xfId="0" applyNumberFormat="1" applyBorder="1" applyAlignment="1" applyProtection="1">
      <alignment horizontal="right"/>
      <protection locked="0"/>
    </xf>
    <xf numFmtId="0" fontId="0" fillId="4" borderId="0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3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4" borderId="1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2" fontId="13" fillId="10" borderId="2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13" fillId="4" borderId="1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17" fillId="11" borderId="28" xfId="0" applyFont="1" applyFill="1" applyBorder="1" applyProtection="1">
      <protection/>
    </xf>
    <xf numFmtId="0" fontId="0" fillId="11" borderId="29" xfId="0" applyFill="1" applyBorder="1" applyProtection="1">
      <protection/>
    </xf>
    <xf numFmtId="0" fontId="0" fillId="11" borderId="30" xfId="0" applyFill="1" applyBorder="1" applyProtection="1">
      <protection/>
    </xf>
    <xf numFmtId="0" fontId="0" fillId="11" borderId="31" xfId="0" applyFill="1" applyBorder="1" applyProtection="1">
      <protection/>
    </xf>
    <xf numFmtId="0" fontId="0" fillId="11" borderId="0" xfId="0" applyFill="1" applyBorder="1" applyProtection="1">
      <protection/>
    </xf>
    <xf numFmtId="0" fontId="0" fillId="11" borderId="32" xfId="0" applyFill="1" applyBorder="1" applyProtection="1">
      <protection/>
    </xf>
    <xf numFmtId="0" fontId="0" fillId="11" borderId="28" xfId="0" applyFill="1" applyBorder="1" applyProtection="1">
      <protection/>
    </xf>
    <xf numFmtId="0" fontId="0" fillId="11" borderId="33" xfId="0" applyFill="1" applyBorder="1" applyProtection="1">
      <protection/>
    </xf>
    <xf numFmtId="0" fontId="0" fillId="11" borderId="34" xfId="0" applyFill="1" applyBorder="1" applyProtection="1">
      <protection/>
    </xf>
    <xf numFmtId="0" fontId="0" fillId="11" borderId="35" xfId="0" applyFill="1" applyBorder="1" applyProtection="1">
      <protection/>
    </xf>
    <xf numFmtId="0" fontId="0" fillId="11" borderId="36" xfId="0" applyFill="1" applyBorder="1" applyProtection="1">
      <protection/>
    </xf>
    <xf numFmtId="0" fontId="18" fillId="11" borderId="35" xfId="23" applyFill="1" applyBorder="1" applyProtection="1">
      <protection/>
    </xf>
    <xf numFmtId="0" fontId="18" fillId="7" borderId="35" xfId="23" applyFill="1" applyBorder="1" applyProtection="1">
      <protection/>
    </xf>
    <xf numFmtId="1" fontId="18" fillId="7" borderId="35" xfId="23" applyNumberFormat="1" applyFill="1" applyBorder="1" applyProtection="1">
      <protection/>
    </xf>
    <xf numFmtId="0" fontId="0" fillId="7" borderId="35" xfId="0" applyFill="1" applyBorder="1" applyProtection="1">
      <protection/>
    </xf>
    <xf numFmtId="0" fontId="18" fillId="7" borderId="36" xfId="23" applyFill="1" applyBorder="1" applyProtection="1">
      <protection/>
    </xf>
    <xf numFmtId="0" fontId="0" fillId="0" borderId="21" xfId="0" applyBorder="1" applyAlignment="1" applyProtection="1">
      <alignment horizontal="right"/>
      <protection/>
    </xf>
    <xf numFmtId="165" fontId="0" fillId="0" borderId="12" xfId="0" applyNumberFormat="1" applyBorder="1" applyAlignment="1" applyProtection="1">
      <alignment horizontal="right"/>
      <protection/>
    </xf>
    <xf numFmtId="0" fontId="0" fillId="0" borderId="22" xfId="0" applyBorder="1" applyProtection="1">
      <protection/>
    </xf>
    <xf numFmtId="165" fontId="0" fillId="0" borderId="21" xfId="0" applyNumberFormat="1" applyBorder="1" applyAlignment="1" applyProtection="1">
      <alignment horizontal="right"/>
      <protection/>
    </xf>
    <xf numFmtId="0" fontId="0" fillId="0" borderId="3" xfId="0" applyBorder="1" applyProtection="1">
      <protection/>
    </xf>
    <xf numFmtId="0" fontId="0" fillId="0" borderId="23" xfId="0" applyBorder="1" applyProtection="1">
      <protection/>
    </xf>
    <xf numFmtId="0" fontId="1" fillId="0" borderId="23" xfId="0" applyFont="1" applyBorder="1" applyAlignment="1" applyProtection="1">
      <alignment horizontal="center"/>
      <protection/>
    </xf>
    <xf numFmtId="165" fontId="0" fillId="0" borderId="3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2" fontId="13" fillId="10" borderId="2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4" xfId="22" applyFont="1" applyBorder="1" applyAlignment="1" applyProtection="1">
      <alignment horizontal="left" vertical="center" wrapText="1"/>
      <protection/>
    </xf>
    <xf numFmtId="0" fontId="6" fillId="0" borderId="5" xfId="22" applyFont="1" applyBorder="1" applyAlignment="1" applyProtection="1">
      <alignment horizontal="left" vertical="center" wrapText="1"/>
      <protection/>
    </xf>
    <xf numFmtId="0" fontId="8" fillId="0" borderId="2" xfId="22" applyFont="1" applyFill="1" applyBorder="1">
      <alignment/>
      <protection/>
    </xf>
    <xf numFmtId="0" fontId="13" fillId="6" borderId="14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6" borderId="14" xfId="0" applyFont="1" applyFill="1" applyBorder="1" applyAlignment="1" applyProtection="1">
      <alignment/>
      <protection locked="0"/>
    </xf>
    <xf numFmtId="164" fontId="0" fillId="6" borderId="14" xfId="0" applyNumberFormat="1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6" borderId="2" xfId="0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6" fillId="7" borderId="9" xfId="22" applyFont="1" applyFill="1" applyBorder="1" applyAlignment="1" applyProtection="1">
      <alignment horizontal="left" vertical="center" wrapText="1"/>
      <protection/>
    </xf>
    <xf numFmtId="0" fontId="0" fillId="7" borderId="0" xfId="0" applyFill="1" applyProtection="1">
      <protection locked="0"/>
    </xf>
    <xf numFmtId="0" fontId="8" fillId="7" borderId="14" xfId="21" applyFont="1" applyFill="1" applyBorder="1" applyProtection="1">
      <protection/>
    </xf>
    <xf numFmtId="0" fontId="8" fillId="7" borderId="14" xfId="22" applyFont="1" applyFill="1" applyBorder="1" applyProtection="1">
      <alignment/>
      <protection/>
    </xf>
    <xf numFmtId="0" fontId="8" fillId="12" borderId="3" xfId="0" applyFont="1" applyFill="1" applyBorder="1" applyAlignment="1" applyProtection="1">
      <alignment horizontal="center" vertical="center"/>
      <protection/>
    </xf>
    <xf numFmtId="0" fontId="8" fillId="12" borderId="2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Good" xfId="21"/>
    <cellStyle name="Normal 2" xfId="22"/>
    <cellStyle name="Hyperlink" xfId="23"/>
  </cellStyles>
  <dxfs count="6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00B050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 patternType="solid">
          <bgColor indexed="11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  <condense val="0"/>
        <extend val="0"/>
      </font>
      <fill>
        <patternFill patternType="solid">
          <bgColor indexed="22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 patternType="solid">
          <bgColor indexed="1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22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color indexed="22"/>
        <condense val="0"/>
        <extend val="0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  <condense val="0"/>
        <extend val="0"/>
      </font>
      <fill>
        <patternFill patternType="solid">
          <bgColor indexed="22"/>
        </patternFill>
      </fill>
      <border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16</xdr:row>
      <xdr:rowOff>114300</xdr:rowOff>
    </xdr:from>
    <xdr:to>
      <xdr:col>16</xdr:col>
      <xdr:colOff>142875</xdr:colOff>
      <xdr:row>21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3162300"/>
          <a:ext cx="714375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400050</xdr:colOff>
      <xdr:row>17</xdr:row>
      <xdr:rowOff>104775</xdr:rowOff>
    </xdr:from>
    <xdr:to>
      <xdr:col>22</xdr:col>
      <xdr:colOff>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3343275"/>
          <a:ext cx="32289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3295650</xdr:colOff>
      <xdr:row>0</xdr:row>
      <xdr:rowOff>57150</xdr:rowOff>
    </xdr:from>
    <xdr:to>
      <xdr:col>0</xdr:col>
      <xdr:colOff>4371975</xdr:colOff>
      <xdr:row>0</xdr:row>
      <xdr:rowOff>295275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150"/>
          <a:ext cx="10763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69</xdr:row>
      <xdr:rowOff>95250</xdr:rowOff>
    </xdr:from>
    <xdr:to>
      <xdr:col>8</xdr:col>
      <xdr:colOff>200025</xdr:colOff>
      <xdr:row>74</xdr:row>
      <xdr:rowOff>28575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3487400"/>
          <a:ext cx="43910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3295650</xdr:colOff>
      <xdr:row>0</xdr:row>
      <xdr:rowOff>57150</xdr:rowOff>
    </xdr:from>
    <xdr:to>
      <xdr:col>0</xdr:col>
      <xdr:colOff>4371975</xdr:colOff>
      <xdr:row>0</xdr:row>
      <xdr:rowOff>295275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150"/>
          <a:ext cx="10763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69</xdr:row>
      <xdr:rowOff>95250</xdr:rowOff>
    </xdr:from>
    <xdr:to>
      <xdr:col>8</xdr:col>
      <xdr:colOff>200025</xdr:colOff>
      <xdr:row>74</xdr:row>
      <xdr:rowOff>28575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3487400"/>
          <a:ext cx="43910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3295650</xdr:colOff>
      <xdr:row>0</xdr:row>
      <xdr:rowOff>57150</xdr:rowOff>
    </xdr:from>
    <xdr:to>
      <xdr:col>0</xdr:col>
      <xdr:colOff>4371975</xdr:colOff>
      <xdr:row>0</xdr:row>
      <xdr:rowOff>295275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150"/>
          <a:ext cx="10763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69</xdr:row>
      <xdr:rowOff>95250</xdr:rowOff>
    </xdr:from>
    <xdr:to>
      <xdr:col>8</xdr:col>
      <xdr:colOff>200025</xdr:colOff>
      <xdr:row>74</xdr:row>
      <xdr:rowOff>28575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3487400"/>
          <a:ext cx="43910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3295650</xdr:colOff>
      <xdr:row>0</xdr:row>
      <xdr:rowOff>57150</xdr:rowOff>
    </xdr:from>
    <xdr:to>
      <xdr:col>0</xdr:col>
      <xdr:colOff>4371975</xdr:colOff>
      <xdr:row>0</xdr:row>
      <xdr:rowOff>295275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150"/>
          <a:ext cx="10763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69</xdr:row>
      <xdr:rowOff>95250</xdr:rowOff>
    </xdr:from>
    <xdr:to>
      <xdr:col>8</xdr:col>
      <xdr:colOff>200025</xdr:colOff>
      <xdr:row>74</xdr:row>
      <xdr:rowOff>28575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3487400"/>
          <a:ext cx="4391025" cy="9906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D22" totalsRowShown="0" headerRowDxfId="62" dataDxfId="61">
  <autoFilter ref="A5:D22"/>
  <tableColumns count="4">
    <tableColumn id="1" name="Cable manufacturer" dataDxfId="60"/>
    <tableColumn id="3" name="Resistance (per Core)" dataDxfId="59"/>
    <tableColumn id="4" name="Inductance (per Core)" dataDxfId="58"/>
    <tableColumn id="5" name="Capacitance (Core to Core)" dataDxfId="5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 topLeftCell="B1">
      <selection activeCell="G4" sqref="G4"/>
    </sheetView>
  </sheetViews>
  <sheetFormatPr defaultColWidth="9.140625" defaultRowHeight="15"/>
  <cols>
    <col min="1" max="1" width="8.8515625" style="27" customWidth="1"/>
    <col min="2" max="2" width="24.7109375" style="27" customWidth="1"/>
    <col min="3" max="3" width="28.421875" style="27" customWidth="1"/>
    <col min="4" max="10" width="8.8515625" style="27" customWidth="1"/>
    <col min="11" max="11" width="8.8515625" style="27" hidden="1" customWidth="1"/>
    <col min="12" max="12" width="14.28125" style="27" hidden="1" customWidth="1"/>
    <col min="13" max="15" width="8.8515625" style="27" hidden="1" customWidth="1"/>
    <col min="16" max="16" width="8.8515625" style="27" customWidth="1"/>
    <col min="17" max="17" width="10.140625" style="27" customWidth="1"/>
    <col min="18" max="16384" width="8.8515625" style="27" customWidth="1"/>
  </cols>
  <sheetData>
    <row r="1" spans="1:9" ht="15">
      <c r="A1" s="75"/>
      <c r="B1" s="76"/>
      <c r="C1" s="76"/>
      <c r="D1" s="76"/>
      <c r="E1" s="76"/>
      <c r="F1" s="76"/>
      <c r="G1" s="76"/>
      <c r="H1" s="76"/>
      <c r="I1" s="77"/>
    </row>
    <row r="2" spans="1:9" ht="15" thickBot="1">
      <c r="A2" s="78"/>
      <c r="B2" s="79" t="s">
        <v>91</v>
      </c>
      <c r="C2" s="160"/>
      <c r="D2" s="161"/>
      <c r="E2" s="161"/>
      <c r="F2" s="161"/>
      <c r="G2" s="161"/>
      <c r="H2" s="162"/>
      <c r="I2" s="1"/>
    </row>
    <row r="3" spans="1:22" ht="15" thickTop="1">
      <c r="A3" s="78"/>
      <c r="B3" s="80" t="s">
        <v>92</v>
      </c>
      <c r="C3" s="163"/>
      <c r="D3" s="161"/>
      <c r="E3" s="162"/>
      <c r="F3" s="81" t="s">
        <v>93</v>
      </c>
      <c r="G3" s="164">
        <v>43711</v>
      </c>
      <c r="H3" s="165"/>
      <c r="I3" s="1"/>
      <c r="P3" s="129" t="s">
        <v>146</v>
      </c>
      <c r="Q3" s="130"/>
      <c r="R3" s="130"/>
      <c r="S3" s="130"/>
      <c r="T3" s="131"/>
      <c r="U3" s="72"/>
      <c r="V3" s="72"/>
    </row>
    <row r="4" spans="1:22" ht="15">
      <c r="A4" s="78"/>
      <c r="B4" s="82"/>
      <c r="C4" s="82"/>
      <c r="D4" s="82"/>
      <c r="E4" s="82"/>
      <c r="F4" s="82"/>
      <c r="G4" s="82"/>
      <c r="H4" s="82"/>
      <c r="I4" s="1"/>
      <c r="P4" s="132" t="s">
        <v>145</v>
      </c>
      <c r="Q4" s="133"/>
      <c r="R4" s="133"/>
      <c r="S4" s="133"/>
      <c r="T4" s="134"/>
      <c r="U4" s="72"/>
      <c r="V4" s="72"/>
    </row>
    <row r="5" spans="1:22" ht="15" thickBot="1">
      <c r="A5" s="78"/>
      <c r="B5" s="83" t="s">
        <v>114</v>
      </c>
      <c r="C5" s="81"/>
      <c r="D5" s="84" t="s">
        <v>95</v>
      </c>
      <c r="E5" s="79"/>
      <c r="F5" s="81"/>
      <c r="G5" s="84" t="s">
        <v>96</v>
      </c>
      <c r="H5" s="79"/>
      <c r="I5" s="1"/>
      <c r="L5" s="27" t="s">
        <v>115</v>
      </c>
      <c r="M5" s="27" t="s">
        <v>116</v>
      </c>
      <c r="P5" s="132" t="s">
        <v>144</v>
      </c>
      <c r="Q5" s="133"/>
      <c r="R5" s="133"/>
      <c r="S5" s="133"/>
      <c r="T5" s="134"/>
      <c r="U5" s="72"/>
      <c r="V5" s="72"/>
    </row>
    <row r="6" spans="1:22" ht="15.6" thickBot="1" thickTop="1">
      <c r="A6" s="78"/>
      <c r="B6" s="10">
        <v>5100</v>
      </c>
      <c r="C6" s="84" t="s">
        <v>98</v>
      </c>
      <c r="D6" s="84" t="s">
        <v>99</v>
      </c>
      <c r="E6" s="84" t="s">
        <v>100</v>
      </c>
      <c r="F6" s="84" t="s">
        <v>98</v>
      </c>
      <c r="G6" s="84" t="s">
        <v>99</v>
      </c>
      <c r="H6" s="84" t="s">
        <v>100</v>
      </c>
      <c r="I6" s="1"/>
      <c r="K6" s="27" t="s">
        <v>117</v>
      </c>
      <c r="L6" s="27">
        <v>0.072</v>
      </c>
      <c r="M6" s="27">
        <v>0.125</v>
      </c>
      <c r="O6" s="27">
        <v>4</v>
      </c>
      <c r="P6" s="135" t="s">
        <v>143</v>
      </c>
      <c r="Q6" s="130"/>
      <c r="R6" s="136">
        <f>SUM('Loop 1'!H66,'Loop 2'!H66,'Loop 3'!H66,'Loop 4'!H66)</f>
        <v>0</v>
      </c>
      <c r="S6" s="133"/>
      <c r="T6" s="134"/>
      <c r="U6" s="72"/>
      <c r="V6" s="72"/>
    </row>
    <row r="7" spans="1:22" ht="15" thickBot="1">
      <c r="A7" s="78"/>
      <c r="B7" s="85" t="s">
        <v>118</v>
      </c>
      <c r="C7" s="4">
        <v>0.072</v>
      </c>
      <c r="D7" s="2">
        <v>1</v>
      </c>
      <c r="E7" s="4">
        <f>C7*D7</f>
        <v>0.072</v>
      </c>
      <c r="F7" s="4">
        <f>IF($C34="on",$M8,IF($C34="dim",$M7,IF($C34="off",$M6,10)))</f>
        <v>0.125</v>
      </c>
      <c r="G7" s="3">
        <v>1</v>
      </c>
      <c r="H7" s="4">
        <f>F7*G7</f>
        <v>0.125</v>
      </c>
      <c r="I7" s="1"/>
      <c r="K7" s="27" t="s">
        <v>119</v>
      </c>
      <c r="L7" s="27">
        <v>0.082</v>
      </c>
      <c r="M7" s="27">
        <v>0.125</v>
      </c>
      <c r="O7" s="27">
        <v>24</v>
      </c>
      <c r="P7" s="137"/>
      <c r="Q7" s="138" t="s">
        <v>157</v>
      </c>
      <c r="R7" s="138" t="s">
        <v>100</v>
      </c>
      <c r="S7" s="138" t="s">
        <v>158</v>
      </c>
      <c r="T7" s="138" t="s">
        <v>155</v>
      </c>
      <c r="U7" s="138"/>
      <c r="V7" s="139" t="s">
        <v>49</v>
      </c>
    </row>
    <row r="8" spans="1:22" ht="15" thickBot="1">
      <c r="A8" s="78"/>
      <c r="B8" s="85" t="s">
        <v>102</v>
      </c>
      <c r="C8" s="5">
        <f>'Loop 1'!$D$66</f>
        <v>0</v>
      </c>
      <c r="D8" s="2">
        <v>1.25</v>
      </c>
      <c r="E8" s="4">
        <f aca="true" t="shared" si="0" ref="E8:E22">C8*D8</f>
        <v>0</v>
      </c>
      <c r="F8" s="5">
        <f>'Loop 1'!$F$66</f>
        <v>0.04</v>
      </c>
      <c r="G8" s="3">
        <v>1.25</v>
      </c>
      <c r="H8" s="4">
        <f aca="true" t="shared" si="1" ref="H8:H25">F8*G8</f>
        <v>0.05</v>
      </c>
      <c r="I8" s="88"/>
      <c r="K8" s="27" t="s">
        <v>120</v>
      </c>
      <c r="L8" s="27">
        <v>0.102</v>
      </c>
      <c r="M8" s="27">
        <v>0.125</v>
      </c>
      <c r="O8" s="27">
        <v>48</v>
      </c>
      <c r="P8" s="137" t="s">
        <v>151</v>
      </c>
      <c r="Q8" s="138" t="s">
        <v>152</v>
      </c>
      <c r="R8" s="138" t="s">
        <v>153</v>
      </c>
      <c r="S8" s="138" t="s">
        <v>161</v>
      </c>
      <c r="T8" s="138" t="s">
        <v>156</v>
      </c>
      <c r="U8" s="138"/>
      <c r="V8" s="139" t="s">
        <v>154</v>
      </c>
    </row>
    <row r="9" spans="1:22" ht="15" thickBot="1">
      <c r="A9" s="78"/>
      <c r="B9" s="85" t="s">
        <v>121</v>
      </c>
      <c r="C9" s="4">
        <v>0.042</v>
      </c>
      <c r="D9" s="11">
        <v>1</v>
      </c>
      <c r="E9" s="4">
        <f t="shared" si="0"/>
        <v>0.042</v>
      </c>
      <c r="F9" s="4">
        <v>0.042</v>
      </c>
      <c r="G9" s="11">
        <v>1</v>
      </c>
      <c r="H9" s="4">
        <f t="shared" si="1"/>
        <v>0.042</v>
      </c>
      <c r="I9" s="90"/>
      <c r="O9" s="27">
        <v>72</v>
      </c>
      <c r="P9" s="137" t="s">
        <v>147</v>
      </c>
      <c r="Q9" s="140" t="str">
        <f>HYPERLINK('Loop 1'!C74)</f>
        <v>Loop ok</v>
      </c>
      <c r="R9" s="141" t="str">
        <f>HYPERLINK('Loop 1'!A74)</f>
        <v>0.968</v>
      </c>
      <c r="S9" s="142">
        <f>PRODUCT('Loop 1'!A76)</f>
        <v>2000</v>
      </c>
      <c r="T9" s="141" t="str">
        <f>HYPERLINK('Loop 1'!A70)</f>
        <v>FP200 1.5mm</v>
      </c>
      <c r="U9" s="143"/>
      <c r="V9" s="144" t="str">
        <f>HYPERLINK('Loop 1'!B66)</f>
        <v>0</v>
      </c>
    </row>
    <row r="10" spans="1:22" ht="15" thickBot="1">
      <c r="A10" s="78"/>
      <c r="B10" s="85" t="s">
        <v>102</v>
      </c>
      <c r="C10" s="5">
        <f>IF(B6=5200,'Loop 2'!$D$66,C12)</f>
        <v>0</v>
      </c>
      <c r="D10" s="11">
        <v>1.25</v>
      </c>
      <c r="E10" s="4">
        <f t="shared" si="0"/>
        <v>0</v>
      </c>
      <c r="F10" s="5">
        <f>IF(B6=5200,'Loop 2'!$F$66,IF(B6=5400,'Loop 2'!$F$66,0))</f>
        <v>0</v>
      </c>
      <c r="G10" s="12">
        <v>1.25</v>
      </c>
      <c r="H10" s="4">
        <f t="shared" si="1"/>
        <v>0</v>
      </c>
      <c r="I10" s="92"/>
      <c r="K10" s="27" t="s">
        <v>122</v>
      </c>
      <c r="L10" s="27">
        <v>0.02</v>
      </c>
      <c r="M10" s="27">
        <v>0.02</v>
      </c>
      <c r="P10" s="137"/>
      <c r="Q10" s="138"/>
      <c r="R10" s="138"/>
      <c r="S10" s="138"/>
      <c r="T10" s="138"/>
      <c r="U10" s="138"/>
      <c r="V10" s="139"/>
    </row>
    <row r="11" spans="1:22" ht="15" thickBot="1">
      <c r="A11" s="78"/>
      <c r="B11" s="85" t="s">
        <v>123</v>
      </c>
      <c r="C11" s="4">
        <f>IF(B6=5200,0.042,IF(B6=5400,0.042,0))</f>
        <v>0</v>
      </c>
      <c r="D11" s="11">
        <v>1</v>
      </c>
      <c r="E11" s="4">
        <f t="shared" si="0"/>
        <v>0</v>
      </c>
      <c r="F11" s="4">
        <f>IF(B6=5200,0.042,IF(B6=5400,0.042,0))</f>
        <v>0</v>
      </c>
      <c r="G11" s="11">
        <v>1</v>
      </c>
      <c r="H11" s="4">
        <f t="shared" si="1"/>
        <v>0</v>
      </c>
      <c r="I11" s="92"/>
      <c r="K11" s="27" t="s">
        <v>124</v>
      </c>
      <c r="L11" s="27">
        <v>0.061</v>
      </c>
      <c r="M11" s="27">
        <v>0.061</v>
      </c>
      <c r="P11" s="137" t="s">
        <v>148</v>
      </c>
      <c r="Q11" s="140" t="str">
        <f>HYPERLINK('Loop 2'!C74)</f>
        <v>Loop ok</v>
      </c>
      <c r="R11" s="141" t="str">
        <f>HYPERLINK('Loop 2'!A74)</f>
        <v>0.968</v>
      </c>
      <c r="S11" s="142">
        <f>PRODUCT('Loop 2'!A76)</f>
        <v>2000</v>
      </c>
      <c r="T11" s="141" t="str">
        <f>HYPERLINK('Loop 2'!A70)</f>
        <v>FP200 1.5mm</v>
      </c>
      <c r="U11" s="143"/>
      <c r="V11" s="144" t="str">
        <f>HYPERLINK('Loop 2'!B66)</f>
        <v>0</v>
      </c>
    </row>
    <row r="12" spans="1:22" ht="15" thickBot="1">
      <c r="A12" s="78"/>
      <c r="B12" s="85" t="s">
        <v>102</v>
      </c>
      <c r="C12" s="5">
        <f>IF(B6=5400,'Loop 3'!$D$66,0)</f>
        <v>0</v>
      </c>
      <c r="D12" s="11">
        <v>1.25</v>
      </c>
      <c r="E12" s="4">
        <f t="shared" si="0"/>
        <v>0</v>
      </c>
      <c r="F12" s="5">
        <f>IF(B6=5400,'Loop 3'!$F$66,0)</f>
        <v>0</v>
      </c>
      <c r="G12" s="12">
        <v>1.25</v>
      </c>
      <c r="H12" s="4">
        <f t="shared" si="1"/>
        <v>0</v>
      </c>
      <c r="I12" s="92"/>
      <c r="K12" s="27" t="s">
        <v>125</v>
      </c>
      <c r="L12" s="27">
        <v>0</v>
      </c>
      <c r="M12" s="27">
        <v>0</v>
      </c>
      <c r="O12" s="93">
        <v>5100</v>
      </c>
      <c r="P12" s="137"/>
      <c r="Q12" s="138"/>
      <c r="R12" s="138"/>
      <c r="S12" s="138"/>
      <c r="T12" s="138"/>
      <c r="U12" s="138"/>
      <c r="V12" s="139"/>
    </row>
    <row r="13" spans="1:22" ht="15" thickBot="1">
      <c r="A13" s="78"/>
      <c r="B13" s="85" t="s">
        <v>126</v>
      </c>
      <c r="C13" s="4">
        <f>IF(B6=5400,0.042,0)</f>
        <v>0</v>
      </c>
      <c r="D13" s="11">
        <v>1</v>
      </c>
      <c r="E13" s="4">
        <f t="shared" si="0"/>
        <v>0</v>
      </c>
      <c r="F13" s="4">
        <f>IF(B6=5400,0.042,0)</f>
        <v>0</v>
      </c>
      <c r="G13" s="12">
        <v>1</v>
      </c>
      <c r="H13" s="4">
        <f t="shared" si="1"/>
        <v>0</v>
      </c>
      <c r="I13" s="92"/>
      <c r="O13" s="93">
        <v>5200</v>
      </c>
      <c r="P13" s="137" t="s">
        <v>149</v>
      </c>
      <c r="Q13" s="140" t="str">
        <f>HYPERLINK('Loop 3'!C74)</f>
        <v>Loop ok</v>
      </c>
      <c r="R13" s="141" t="str">
        <f>HYPERLINK('Loop 3'!A74)</f>
        <v>0.968</v>
      </c>
      <c r="S13" s="142">
        <f>PRODUCT('Loop 3'!A76)</f>
        <v>2000</v>
      </c>
      <c r="T13" s="141" t="str">
        <f>HYPERLINK('Loop 3'!A70)</f>
        <v>FP200 1.5mm</v>
      </c>
      <c r="U13" s="143"/>
      <c r="V13" s="144" t="str">
        <f>HYPERLINK('Loop 3'!B66)</f>
        <v>0</v>
      </c>
    </row>
    <row r="14" spans="1:22" ht="15" thickBot="1">
      <c r="A14" s="78"/>
      <c r="B14" s="85" t="s">
        <v>102</v>
      </c>
      <c r="C14" s="5">
        <f>IF(B6=5400,'Loop 4'!$D$66,0)</f>
        <v>0</v>
      </c>
      <c r="D14" s="11">
        <v>1.25</v>
      </c>
      <c r="E14" s="4">
        <f t="shared" si="0"/>
        <v>0</v>
      </c>
      <c r="F14" s="5">
        <f>IF(B6=5400,'Loop 4'!$F$66,0)</f>
        <v>0</v>
      </c>
      <c r="G14" s="12">
        <v>1.25</v>
      </c>
      <c r="H14" s="4">
        <f t="shared" si="1"/>
        <v>0</v>
      </c>
      <c r="I14" s="92"/>
      <c r="K14" s="27" t="s">
        <v>127</v>
      </c>
      <c r="L14" s="27">
        <v>0</v>
      </c>
      <c r="M14" s="27">
        <v>0.03</v>
      </c>
      <c r="O14" s="93">
        <v>5400</v>
      </c>
      <c r="P14" s="137"/>
      <c r="Q14" s="138"/>
      <c r="R14" s="138"/>
      <c r="S14" s="138"/>
      <c r="T14" s="138"/>
      <c r="U14" s="138"/>
      <c r="V14" s="139"/>
    </row>
    <row r="15" spans="1:22" ht="15" thickBot="1">
      <c r="A15" s="78"/>
      <c r="B15" s="85" t="s">
        <v>128</v>
      </c>
      <c r="C15" s="4">
        <f>IF(B6=5400,0.042,0)</f>
        <v>0</v>
      </c>
      <c r="D15" s="11">
        <v>0</v>
      </c>
      <c r="E15" s="4">
        <f t="shared" si="0"/>
        <v>0</v>
      </c>
      <c r="F15" s="4">
        <f>IF(B6=5400,0.042,0)</f>
        <v>0</v>
      </c>
      <c r="G15" s="12">
        <v>1</v>
      </c>
      <c r="H15" s="4">
        <f t="shared" si="1"/>
        <v>0</v>
      </c>
      <c r="I15" s="92"/>
      <c r="K15" s="27" t="s">
        <v>129</v>
      </c>
      <c r="L15" s="27">
        <v>0.031</v>
      </c>
      <c r="M15" s="27">
        <v>0.043</v>
      </c>
      <c r="P15" s="137" t="s">
        <v>150</v>
      </c>
      <c r="Q15" s="140" t="str">
        <f>HYPERLINK('Loop 4'!C74)</f>
        <v>Loop ok</v>
      </c>
      <c r="R15" s="141" t="str">
        <f>HYPERLINK('Loop 4'!A74)</f>
        <v>0.968</v>
      </c>
      <c r="S15" s="142">
        <f>PRODUCT('Loop 4'!A76)</f>
        <v>2000</v>
      </c>
      <c r="T15" s="141" t="str">
        <f>HYPERLINK('Loop 4'!A70)</f>
        <v>FP200 1.5mm</v>
      </c>
      <c r="U15" s="143"/>
      <c r="V15" s="144" t="str">
        <f>HYPERLINK('Loop 4'!B66)</f>
        <v>0</v>
      </c>
    </row>
    <row r="16" spans="1:13" ht="15">
      <c r="A16" s="78"/>
      <c r="B16" s="85" t="str">
        <f>IF($C35="MXP-509","MXP-509 Fault-Tolerant Network",IF($C35="MXP-503","MXP-503 Standard Network","NO NETWORK Card"))</f>
        <v>NO NETWORK Card</v>
      </c>
      <c r="C16" s="94">
        <f>IF($C35="MXP-509",$L11,IF($C35="MXP-503",$L10,$L12))</f>
        <v>0</v>
      </c>
      <c r="D16" s="89">
        <v>1</v>
      </c>
      <c r="E16" s="86">
        <f t="shared" si="0"/>
        <v>0</v>
      </c>
      <c r="F16" s="86">
        <f>IF($C35="MXP-509",$M11,IF($C35="MXP-503",$M10,$M12))</f>
        <v>0</v>
      </c>
      <c r="G16" s="91">
        <f>D16</f>
        <v>1</v>
      </c>
      <c r="H16" s="86">
        <f t="shared" si="1"/>
        <v>0</v>
      </c>
      <c r="I16" s="92"/>
      <c r="K16" s="27" t="s">
        <v>125</v>
      </c>
      <c r="L16" s="27">
        <v>0</v>
      </c>
      <c r="M16" s="27">
        <v>0</v>
      </c>
    </row>
    <row r="17" spans="1:16" ht="15">
      <c r="A17" s="78"/>
      <c r="B17" s="85" t="str">
        <f>IF($C36="MXP-507","MXP-507 2-Way Relay Card",IF($C36="MXP-532","MXP-532 Routing / Protection I/F","NO PLUG-IN Card"))</f>
        <v>NO PLUG-IN Card</v>
      </c>
      <c r="C17" s="86">
        <f>IF($C36="MXP-507",$L14,IF($C36="MXP-532",$L15,$L16))</f>
        <v>0</v>
      </c>
      <c r="D17" s="89">
        <v>1</v>
      </c>
      <c r="E17" s="86">
        <f t="shared" si="0"/>
        <v>0</v>
      </c>
      <c r="F17" s="86">
        <f>IF($C36="MXP-507",$M14,IF($C36="MXP-532",$M15,$M16))</f>
        <v>0</v>
      </c>
      <c r="G17" s="91">
        <f>D17</f>
        <v>1</v>
      </c>
      <c r="H17" s="86">
        <f t="shared" si="1"/>
        <v>0</v>
      </c>
      <c r="I17" s="92"/>
      <c r="P17" s="155"/>
    </row>
    <row r="18" spans="1:9" ht="15">
      <c r="A18" s="78"/>
      <c r="B18" s="85" t="str">
        <f>IF($C37="NONE","NO LED INDICATOR Card","MXP-513-XXX LED INDICATOR Card")</f>
        <v>NO LED INDICATOR Card</v>
      </c>
      <c r="C18" s="86">
        <f>IF(C37="NONE",0,((C37/50)*L19))</f>
        <v>0</v>
      </c>
      <c r="D18" s="89">
        <f>IF($C37="NONE",0,($C37/50))</f>
        <v>0</v>
      </c>
      <c r="E18" s="86">
        <f t="shared" si="0"/>
        <v>0</v>
      </c>
      <c r="F18" s="86">
        <f>IF(C37="NONE",0,((C37/50)*M19))</f>
        <v>0</v>
      </c>
      <c r="G18" s="91">
        <f>D18</f>
        <v>0</v>
      </c>
      <c r="H18" s="86">
        <f t="shared" si="1"/>
        <v>0</v>
      </c>
      <c r="I18" s="92"/>
    </row>
    <row r="19" spans="1:13" ht="15">
      <c r="A19" s="78"/>
      <c r="B19" s="85" t="str">
        <f>IF(C38="MXP-512","MXP-512 INTERNAL PRINTER","NO PRINTER")</f>
        <v>NO PRINTER</v>
      </c>
      <c r="C19" s="86">
        <f>IF(C38="NONE",0,L26)</f>
        <v>0</v>
      </c>
      <c r="D19" s="89">
        <v>1</v>
      </c>
      <c r="E19" s="86">
        <f t="shared" si="0"/>
        <v>0</v>
      </c>
      <c r="F19" s="86">
        <f>IF(C38="NONE",0,M26)</f>
        <v>0</v>
      </c>
      <c r="G19" s="91">
        <f>D19</f>
        <v>1</v>
      </c>
      <c r="H19" s="86">
        <f t="shared" si="1"/>
        <v>0</v>
      </c>
      <c r="I19" s="92"/>
      <c r="K19" s="27">
        <v>50</v>
      </c>
      <c r="L19" s="27">
        <v>0.008</v>
      </c>
      <c r="M19" s="27">
        <v>0.03</v>
      </c>
    </row>
    <row r="20" spans="1:13" ht="15">
      <c r="A20" s="78"/>
      <c r="B20" s="85" t="str">
        <f>IF(C39="MXP-504","MXP-504 FAT I/F",IF(C39="MXP-504/508","MXP-504 FAT I/F + MXP-508 RELAY","NO FAT INTERFACE"))</f>
        <v>NO FAT INTERFACE</v>
      </c>
      <c r="C20" s="86">
        <f>IF(C39="MXP-504",L29,IF(C39="MXP-504/508",L30,L31))</f>
        <v>0</v>
      </c>
      <c r="D20" s="89">
        <v>1</v>
      </c>
      <c r="E20" s="86">
        <f t="shared" si="0"/>
        <v>0</v>
      </c>
      <c r="F20" s="86">
        <f>IF(C39="MXP-504",M29,IF(C39="MXP-504/508",M30,M31))</f>
        <v>0</v>
      </c>
      <c r="G20" s="91">
        <f>D20</f>
        <v>1</v>
      </c>
      <c r="H20" s="86">
        <f t="shared" si="1"/>
        <v>0</v>
      </c>
      <c r="I20" s="92"/>
      <c r="K20" s="27">
        <v>100</v>
      </c>
      <c r="L20" s="27">
        <f>L19*2</f>
        <v>0.016</v>
      </c>
      <c r="M20" s="27">
        <f>M19*2</f>
        <v>0.06</v>
      </c>
    </row>
    <row r="21" spans="1:13" ht="15">
      <c r="A21" s="78"/>
      <c r="B21" s="85" t="str">
        <f>IF(C39="NONE","","MXP-504 SUPPLY OUTPUT LOADS")</f>
        <v/>
      </c>
      <c r="C21" s="6">
        <v>0</v>
      </c>
      <c r="D21" s="81">
        <v>1</v>
      </c>
      <c r="E21" s="86">
        <f>IF(C39="none",0,C21*D21)</f>
        <v>0</v>
      </c>
      <c r="F21" s="6">
        <v>0</v>
      </c>
      <c r="G21" s="81">
        <v>1</v>
      </c>
      <c r="H21" s="86">
        <f>IF(C39="none",0,F21*G21)</f>
        <v>0</v>
      </c>
      <c r="I21" s="92"/>
      <c r="K21" s="27">
        <v>150</v>
      </c>
      <c r="L21" s="27">
        <f>L19*3</f>
        <v>0.024</v>
      </c>
      <c r="M21" s="27">
        <f>M19*3</f>
        <v>0.09</v>
      </c>
    </row>
    <row r="22" spans="1:13" ht="15">
      <c r="A22" s="78"/>
      <c r="B22" s="85" t="s">
        <v>103</v>
      </c>
      <c r="C22" s="6">
        <v>0</v>
      </c>
      <c r="D22" s="81">
        <v>1</v>
      </c>
      <c r="E22" s="86">
        <f t="shared" si="0"/>
        <v>0</v>
      </c>
      <c r="F22" s="6">
        <v>0</v>
      </c>
      <c r="G22" s="81">
        <v>1</v>
      </c>
      <c r="H22" s="86">
        <f t="shared" si="1"/>
        <v>0</v>
      </c>
      <c r="I22" s="92"/>
      <c r="K22" s="27">
        <v>200</v>
      </c>
      <c r="L22" s="27">
        <f>L19*4</f>
        <v>0.032</v>
      </c>
      <c r="M22" s="27">
        <f>M19*4</f>
        <v>0.12</v>
      </c>
    </row>
    <row r="23" spans="1:21" ht="18">
      <c r="A23" s="78"/>
      <c r="B23" s="85"/>
      <c r="C23" s="95"/>
      <c r="D23" s="87"/>
      <c r="E23" s="95"/>
      <c r="F23" s="96"/>
      <c r="G23" s="97"/>
      <c r="H23" s="98"/>
      <c r="I23" s="92"/>
      <c r="K23" s="27">
        <v>250</v>
      </c>
      <c r="L23" s="27">
        <f>L19*5</f>
        <v>0.04</v>
      </c>
      <c r="M23" s="27">
        <f>M19*5</f>
        <v>0.15</v>
      </c>
      <c r="P23" s="156" t="s">
        <v>162</v>
      </c>
      <c r="Q23" s="156"/>
      <c r="R23" s="156"/>
      <c r="S23" s="156"/>
      <c r="T23" s="156"/>
      <c r="U23" s="156"/>
    </row>
    <row r="24" spans="1:13" ht="15">
      <c r="A24" s="78"/>
      <c r="B24" s="85" t="s">
        <v>104</v>
      </c>
      <c r="C24" s="99"/>
      <c r="D24" s="100"/>
      <c r="E24" s="101"/>
      <c r="F24" s="8">
        <v>0</v>
      </c>
      <c r="G24" s="81">
        <v>1</v>
      </c>
      <c r="H24" s="86">
        <f t="shared" si="1"/>
        <v>0</v>
      </c>
      <c r="I24" s="92"/>
      <c r="K24" s="27" t="s">
        <v>125</v>
      </c>
      <c r="L24" s="27">
        <v>0</v>
      </c>
      <c r="M24" s="27">
        <v>0</v>
      </c>
    </row>
    <row r="25" spans="1:16" ht="18">
      <c r="A25" s="78"/>
      <c r="B25" s="85" t="s">
        <v>105</v>
      </c>
      <c r="C25" s="99"/>
      <c r="D25" s="100"/>
      <c r="E25" s="101"/>
      <c r="F25" s="8">
        <v>0</v>
      </c>
      <c r="G25" s="81">
        <v>1</v>
      </c>
      <c r="H25" s="86">
        <f t="shared" si="1"/>
        <v>0</v>
      </c>
      <c r="I25" s="92"/>
      <c r="P25" s="156" t="s">
        <v>185</v>
      </c>
    </row>
    <row r="26" spans="1:13" ht="15">
      <c r="A26" s="78"/>
      <c r="B26" s="85" t="str">
        <f>IF(B6=5400,"Sounder Output C","")</f>
        <v/>
      </c>
      <c r="C26" s="99"/>
      <c r="D26" s="100"/>
      <c r="E26" s="101"/>
      <c r="F26" s="8">
        <v>0</v>
      </c>
      <c r="G26" s="81">
        <v>1</v>
      </c>
      <c r="H26" s="86">
        <f>IF(B6&lt;&gt;5400,0,F26*G26)</f>
        <v>0</v>
      </c>
      <c r="I26" s="92"/>
      <c r="K26" s="27" t="s">
        <v>130</v>
      </c>
      <c r="L26" s="27">
        <v>0.012</v>
      </c>
      <c r="M26" s="27">
        <v>0.27</v>
      </c>
    </row>
    <row r="27" spans="1:16" ht="15">
      <c r="A27" s="78"/>
      <c r="B27" s="85" t="str">
        <f>IF(B6=5400,"Sounder Output D","")</f>
        <v/>
      </c>
      <c r="C27" s="99"/>
      <c r="D27" s="100"/>
      <c r="E27" s="102"/>
      <c r="F27" s="8">
        <v>0</v>
      </c>
      <c r="G27" s="81">
        <v>1</v>
      </c>
      <c r="H27" s="86">
        <f>IF(B6&lt;&gt;5400,0,F27*G27)</f>
        <v>0</v>
      </c>
      <c r="I27" s="92"/>
      <c r="K27" s="27" t="s">
        <v>125</v>
      </c>
      <c r="L27" s="27">
        <v>0</v>
      </c>
      <c r="M27" s="27">
        <v>0</v>
      </c>
      <c r="P27" s="27" t="s">
        <v>186</v>
      </c>
    </row>
    <row r="28" spans="1:9" ht="15">
      <c r="A28" s="78"/>
      <c r="B28" s="103" t="s">
        <v>100</v>
      </c>
      <c r="C28" s="104" t="s">
        <v>106</v>
      </c>
      <c r="D28" s="105"/>
      <c r="E28" s="106">
        <f>SUM(E7:E22)</f>
        <v>0.11399999999999999</v>
      </c>
      <c r="F28" s="104" t="s">
        <v>107</v>
      </c>
      <c r="G28" s="105"/>
      <c r="H28" s="107">
        <f>SUM(H7:H27)</f>
        <v>0.217</v>
      </c>
      <c r="I28" s="92"/>
    </row>
    <row r="29" spans="1:16" ht="15">
      <c r="A29" s="78"/>
      <c r="B29" s="108" t="s">
        <v>108</v>
      </c>
      <c r="C29" s="9">
        <v>24</v>
      </c>
      <c r="D29" s="145" t="s">
        <v>109</v>
      </c>
      <c r="E29" s="146">
        <f>E28*C29</f>
        <v>2.7359999999999998</v>
      </c>
      <c r="F29" s="147"/>
      <c r="G29" s="145" t="s">
        <v>110</v>
      </c>
      <c r="H29" s="148">
        <f>H28*2*0.5</f>
        <v>0.217</v>
      </c>
      <c r="I29" s="92"/>
      <c r="K29" s="27" t="s">
        <v>131</v>
      </c>
      <c r="L29" s="27">
        <v>0.025</v>
      </c>
      <c r="M29" s="27">
        <v>0.034</v>
      </c>
      <c r="P29" s="27" t="s">
        <v>163</v>
      </c>
    </row>
    <row r="30" spans="1:13" ht="15">
      <c r="A30" s="78"/>
      <c r="B30" s="113"/>
      <c r="C30" s="114"/>
      <c r="D30" s="149"/>
      <c r="E30" s="150"/>
      <c r="F30" s="151" t="s">
        <v>111</v>
      </c>
      <c r="G30" s="149"/>
      <c r="H30" s="152">
        <f>E29</f>
        <v>2.7359999999999998</v>
      </c>
      <c r="I30" s="92"/>
      <c r="K30" s="27" t="s">
        <v>132</v>
      </c>
      <c r="L30" s="27">
        <v>0.025</v>
      </c>
      <c r="M30" s="27">
        <v>0.099</v>
      </c>
    </row>
    <row r="31" spans="1:16" ht="15">
      <c r="A31" s="78"/>
      <c r="B31" s="113"/>
      <c r="C31" s="114"/>
      <c r="D31" s="150"/>
      <c r="E31" s="150"/>
      <c r="F31" s="150"/>
      <c r="G31" s="153" t="s">
        <v>112</v>
      </c>
      <c r="H31" s="152">
        <f>SUM(H29:H30)</f>
        <v>2.953</v>
      </c>
      <c r="I31" s="120"/>
      <c r="K31" s="27" t="s">
        <v>125</v>
      </c>
      <c r="L31" s="27">
        <v>0</v>
      </c>
      <c r="M31" s="27">
        <v>0</v>
      </c>
      <c r="P31" s="27" t="s">
        <v>164</v>
      </c>
    </row>
    <row r="32" spans="1:9" ht="15">
      <c r="A32" s="78"/>
      <c r="B32" s="113"/>
      <c r="C32" s="121"/>
      <c r="D32" s="147"/>
      <c r="E32" s="147"/>
      <c r="F32" s="147"/>
      <c r="G32" s="145" t="s">
        <v>113</v>
      </c>
      <c r="H32" s="154">
        <f>H31*1.25</f>
        <v>3.6912499999999997</v>
      </c>
      <c r="I32" s="123"/>
    </row>
    <row r="33" spans="1:16" ht="15">
      <c r="A33" s="78"/>
      <c r="B33" s="82" t="s">
        <v>133</v>
      </c>
      <c r="C33" s="82"/>
      <c r="D33" s="82"/>
      <c r="E33" s="82"/>
      <c r="F33" s="82"/>
      <c r="G33" s="82"/>
      <c r="H33" s="82"/>
      <c r="I33" s="123"/>
      <c r="K33" s="27" t="s">
        <v>134</v>
      </c>
      <c r="L33" s="27">
        <v>0.0003</v>
      </c>
      <c r="M33" s="27">
        <v>0.0035</v>
      </c>
      <c r="P33" s="27" t="s">
        <v>165</v>
      </c>
    </row>
    <row r="34" spans="1:16" ht="15">
      <c r="A34" s="78"/>
      <c r="B34" s="81" t="s">
        <v>135</v>
      </c>
      <c r="C34" s="168" t="s">
        <v>117</v>
      </c>
      <c r="D34" s="169"/>
      <c r="E34" s="82"/>
      <c r="F34" s="82"/>
      <c r="G34" s="82"/>
      <c r="H34" s="82"/>
      <c r="I34" s="123"/>
      <c r="K34" s="27" t="s">
        <v>136</v>
      </c>
      <c r="L34" s="27">
        <v>0.0003</v>
      </c>
      <c r="M34" s="27">
        <v>0.00825</v>
      </c>
      <c r="P34" s="27" t="s">
        <v>166</v>
      </c>
    </row>
    <row r="35" spans="1:16" ht="15">
      <c r="A35" s="78"/>
      <c r="B35" s="81" t="s">
        <v>137</v>
      </c>
      <c r="C35" s="168" t="s">
        <v>125</v>
      </c>
      <c r="D35" s="169"/>
      <c r="E35" s="82"/>
      <c r="F35" s="82"/>
      <c r="G35" s="82"/>
      <c r="H35" s="82"/>
      <c r="I35" s="124"/>
      <c r="P35" s="27" t="s">
        <v>167</v>
      </c>
    </row>
    <row r="36" spans="1:16" ht="15">
      <c r="A36" s="78"/>
      <c r="B36" s="81" t="s">
        <v>138</v>
      </c>
      <c r="C36" s="168" t="s">
        <v>125</v>
      </c>
      <c r="D36" s="169"/>
      <c r="E36" s="113" t="str">
        <f>IF(C36="NONE","","Alarm load figure is all O/P ON")</f>
        <v/>
      </c>
      <c r="F36" s="113"/>
      <c r="G36" s="113"/>
      <c r="H36" s="113"/>
      <c r="I36" s="1"/>
      <c r="P36" s="27" t="s">
        <v>168</v>
      </c>
    </row>
    <row r="37" spans="1:9" ht="15">
      <c r="A37" s="78"/>
      <c r="B37" s="81" t="s">
        <v>139</v>
      </c>
      <c r="C37" s="168" t="s">
        <v>125</v>
      </c>
      <c r="D37" s="169"/>
      <c r="E37" s="113" t="str">
        <f>IF(C37="NONE","","Alarm load figure is all LED ON")</f>
        <v/>
      </c>
      <c r="F37" s="113"/>
      <c r="G37" s="113"/>
      <c r="H37" s="113"/>
      <c r="I37" s="1"/>
    </row>
    <row r="38" spans="1:16" ht="15">
      <c r="A38" s="78"/>
      <c r="B38" s="87" t="s">
        <v>140</v>
      </c>
      <c r="C38" s="168" t="s">
        <v>125</v>
      </c>
      <c r="D38" s="169"/>
      <c r="E38" s="113" t="str">
        <f>IF(C38="NONE","","Alarm load figure is PRINTING")</f>
        <v/>
      </c>
      <c r="F38" s="113"/>
      <c r="G38" s="113"/>
      <c r="H38" s="113"/>
      <c r="I38" s="1"/>
      <c r="P38" s="27" t="s">
        <v>169</v>
      </c>
    </row>
    <row r="39" spans="1:16" ht="15">
      <c r="A39" s="78"/>
      <c r="B39" s="87" t="s">
        <v>141</v>
      </c>
      <c r="C39" s="168" t="s">
        <v>125</v>
      </c>
      <c r="D39" s="169"/>
      <c r="E39" s="113" t="str">
        <f>IF(C39="NONE","","Alarm load figure is all O/P ON")</f>
        <v/>
      </c>
      <c r="F39" s="113"/>
      <c r="G39" s="113"/>
      <c r="H39" s="113"/>
      <c r="I39" s="1"/>
      <c r="P39" s="27" t="s">
        <v>170</v>
      </c>
    </row>
    <row r="40" spans="1:9" ht="15">
      <c r="A40" s="78"/>
      <c r="B40" s="82"/>
      <c r="C40" s="82"/>
      <c r="D40" s="82"/>
      <c r="E40" s="113" t="str">
        <f>IF(C39="NONE","","Add required FAT,FBF,Router AUX loads above")</f>
        <v/>
      </c>
      <c r="F40" s="113"/>
      <c r="G40" s="113"/>
      <c r="H40" s="113"/>
      <c r="I40" s="1"/>
    </row>
    <row r="41" spans="1:16" ht="15">
      <c r="A41" s="78"/>
      <c r="B41" s="87" t="s">
        <v>142</v>
      </c>
      <c r="C41" s="170" t="str">
        <f>IF(H32&gt;45.01,"NONE",IF(H32&gt;17.01,"DEEP",IF(H32&gt;12,"LARGE",IF(B6=5400,"LARGE",IF(H32&gt;7,"MEDIUM",IF(B6=5200,"MEDIUM",IF(C39&lt;&gt;"NONE","MEDIUM",IF(C38&lt;&gt;"NONE","MEDIUM","SMALL"))))))))</f>
        <v>SMALL</v>
      </c>
      <c r="D41" s="170"/>
      <c r="E41" s="166" t="str">
        <f>IF(C41="NONE","MAX BATTERY SIZE IS 45AH",IF(B6&lt;&gt;5100,"",IF(H32&gt;25,"MAX BATTERY SIZE IS 25AH","")))</f>
        <v/>
      </c>
      <c r="F41" s="167"/>
      <c r="G41" s="167"/>
      <c r="H41" s="125"/>
      <c r="I41" s="1"/>
      <c r="P41" s="27" t="s">
        <v>173</v>
      </c>
    </row>
    <row r="42" spans="1:9" ht="15" thickBot="1">
      <c r="A42" s="126"/>
      <c r="B42" s="127"/>
      <c r="C42" s="127"/>
      <c r="D42" s="127"/>
      <c r="E42" s="127"/>
      <c r="F42" s="127"/>
      <c r="G42" s="127"/>
      <c r="H42" s="127"/>
      <c r="I42" s="128"/>
    </row>
    <row r="43" spans="1:16" ht="15">
      <c r="A43" s="78"/>
      <c r="B43" s="82"/>
      <c r="C43" s="82"/>
      <c r="D43" s="82"/>
      <c r="E43" s="82"/>
      <c r="F43" s="82"/>
      <c r="G43" s="82"/>
      <c r="H43" s="82"/>
      <c r="I43" s="1"/>
      <c r="P43" s="27" t="s">
        <v>176</v>
      </c>
    </row>
    <row r="44" spans="1:16" ht="15">
      <c r="A44" s="78"/>
      <c r="B44" s="83" t="s">
        <v>94</v>
      </c>
      <c r="C44" s="81"/>
      <c r="D44" s="84" t="s">
        <v>95</v>
      </c>
      <c r="E44" s="79"/>
      <c r="F44" s="81"/>
      <c r="G44" s="84" t="s">
        <v>96</v>
      </c>
      <c r="H44" s="79"/>
      <c r="I44" s="1"/>
      <c r="P44" s="27" t="s">
        <v>177</v>
      </c>
    </row>
    <row r="45" spans="1:9" ht="15">
      <c r="A45" s="78"/>
      <c r="B45" s="83" t="s">
        <v>97</v>
      </c>
      <c r="C45" s="84" t="s">
        <v>98</v>
      </c>
      <c r="D45" s="84" t="s">
        <v>99</v>
      </c>
      <c r="E45" s="84" t="s">
        <v>100</v>
      </c>
      <c r="F45" s="84" t="s">
        <v>98</v>
      </c>
      <c r="G45" s="84" t="s">
        <v>99</v>
      </c>
      <c r="H45" s="84" t="s">
        <v>100</v>
      </c>
      <c r="I45" s="1"/>
    </row>
    <row r="46" spans="1:16" ht="15">
      <c r="A46" s="78"/>
      <c r="B46" s="7" t="s">
        <v>101</v>
      </c>
      <c r="C46" s="4">
        <v>0.138</v>
      </c>
      <c r="D46" s="2">
        <v>1</v>
      </c>
      <c r="E46" s="4">
        <f>C46*D46</f>
        <v>0.138</v>
      </c>
      <c r="F46" s="4">
        <v>0.155</v>
      </c>
      <c r="G46" s="3">
        <v>1</v>
      </c>
      <c r="H46" s="4">
        <f>F46*G46</f>
        <v>0.155</v>
      </c>
      <c r="I46" s="1"/>
      <c r="P46" s="27" t="s">
        <v>178</v>
      </c>
    </row>
    <row r="47" spans="1:16" ht="15">
      <c r="A47" s="78"/>
      <c r="B47" s="7" t="s">
        <v>102</v>
      </c>
      <c r="C47" s="5">
        <f>'Loop 1'!$D$66</f>
        <v>0</v>
      </c>
      <c r="D47" s="2">
        <v>1.5</v>
      </c>
      <c r="E47" s="4">
        <f>C47*D47</f>
        <v>0</v>
      </c>
      <c r="F47" s="5">
        <f>'Loop 1'!$F$66</f>
        <v>0.04</v>
      </c>
      <c r="G47" s="3">
        <v>1.5</v>
      </c>
      <c r="H47" s="4">
        <f aca="true" t="shared" si="2" ref="H47:H52">F47*G47</f>
        <v>0.06</v>
      </c>
      <c r="I47" s="88"/>
      <c r="P47" s="27" t="s">
        <v>179</v>
      </c>
    </row>
    <row r="48" spans="1:16" ht="15">
      <c r="A48" s="78"/>
      <c r="B48" s="85"/>
      <c r="C48" s="6"/>
      <c r="D48" s="81"/>
      <c r="E48" s="86"/>
      <c r="F48" s="6"/>
      <c r="G48" s="81"/>
      <c r="H48" s="86"/>
      <c r="I48" s="92"/>
      <c r="P48" s="27" t="s">
        <v>180</v>
      </c>
    </row>
    <row r="49" spans="1:16" ht="15">
      <c r="A49" s="78"/>
      <c r="B49" s="85" t="s">
        <v>103</v>
      </c>
      <c r="C49" s="6">
        <v>0</v>
      </c>
      <c r="D49" s="81">
        <v>1</v>
      </c>
      <c r="E49" s="86">
        <f>C49*D49</f>
        <v>0</v>
      </c>
      <c r="F49" s="6">
        <v>0</v>
      </c>
      <c r="G49" s="81">
        <v>1</v>
      </c>
      <c r="H49" s="86">
        <f t="shared" si="2"/>
        <v>0</v>
      </c>
      <c r="I49" s="92"/>
      <c r="P49" s="27" t="s">
        <v>181</v>
      </c>
    </row>
    <row r="50" spans="1:9" ht="15">
      <c r="A50" s="78"/>
      <c r="B50" s="85"/>
      <c r="C50" s="95"/>
      <c r="D50" s="87"/>
      <c r="E50" s="95"/>
      <c r="F50" s="96"/>
      <c r="G50" s="97"/>
      <c r="H50" s="98"/>
      <c r="I50" s="92"/>
    </row>
    <row r="51" spans="1:9" ht="15">
      <c r="A51" s="78"/>
      <c r="B51" s="85" t="s">
        <v>104</v>
      </c>
      <c r="C51" s="99"/>
      <c r="D51" s="100"/>
      <c r="E51" s="101"/>
      <c r="F51" s="8">
        <v>0</v>
      </c>
      <c r="G51" s="81">
        <v>1</v>
      </c>
      <c r="H51" s="86">
        <f t="shared" si="2"/>
        <v>0</v>
      </c>
      <c r="I51" s="92"/>
    </row>
    <row r="52" spans="1:9" ht="15">
      <c r="A52" s="78"/>
      <c r="B52" s="85" t="s">
        <v>105</v>
      </c>
      <c r="C52" s="99"/>
      <c r="D52" s="100"/>
      <c r="E52" s="101"/>
      <c r="F52" s="8">
        <v>0</v>
      </c>
      <c r="G52" s="81">
        <v>1</v>
      </c>
      <c r="H52" s="86">
        <f t="shared" si="2"/>
        <v>0</v>
      </c>
      <c r="I52" s="92"/>
    </row>
    <row r="53" spans="1:9" ht="15">
      <c r="A53" s="78"/>
      <c r="B53" s="85" t="str">
        <f>IF(B45=5400,"Sounder Output C","")</f>
        <v/>
      </c>
      <c r="C53" s="99"/>
      <c r="D53" s="100"/>
      <c r="E53" s="101"/>
      <c r="F53" s="8">
        <v>0</v>
      </c>
      <c r="G53" s="81">
        <v>1</v>
      </c>
      <c r="H53" s="86"/>
      <c r="I53" s="92"/>
    </row>
    <row r="54" spans="1:9" ht="15">
      <c r="A54" s="78"/>
      <c r="B54" s="85" t="str">
        <f>IF(B45=5400,"Sounder Output D","")</f>
        <v/>
      </c>
      <c r="C54" s="99"/>
      <c r="D54" s="100"/>
      <c r="E54" s="102"/>
      <c r="F54" s="8">
        <v>0</v>
      </c>
      <c r="G54" s="81">
        <v>1</v>
      </c>
      <c r="H54" s="86"/>
      <c r="I54" s="92"/>
    </row>
    <row r="55" spans="1:9" ht="15">
      <c r="A55" s="78"/>
      <c r="B55" s="103" t="s">
        <v>100</v>
      </c>
      <c r="C55" s="104" t="s">
        <v>106</v>
      </c>
      <c r="D55" s="105"/>
      <c r="E55" s="106">
        <f>SUM(E46:E49)</f>
        <v>0.138</v>
      </c>
      <c r="F55" s="104" t="s">
        <v>107</v>
      </c>
      <c r="G55" s="105"/>
      <c r="H55" s="107">
        <f>SUM(H46:H54)</f>
        <v>0.215</v>
      </c>
      <c r="I55" s="92"/>
    </row>
    <row r="56" spans="1:9" ht="15">
      <c r="A56" s="78"/>
      <c r="B56" s="108" t="s">
        <v>108</v>
      </c>
      <c r="C56" s="9">
        <v>24</v>
      </c>
      <c r="D56" s="109" t="s">
        <v>109</v>
      </c>
      <c r="E56" s="110">
        <f>E55*C56</f>
        <v>3.3120000000000003</v>
      </c>
      <c r="F56" s="111"/>
      <c r="G56" s="109" t="s">
        <v>110</v>
      </c>
      <c r="H56" s="112">
        <f>H55*2*0.5</f>
        <v>0.215</v>
      </c>
      <c r="I56" s="92"/>
    </row>
    <row r="57" spans="1:9" ht="15">
      <c r="A57" s="78"/>
      <c r="B57" s="113"/>
      <c r="C57" s="114"/>
      <c r="D57" s="115"/>
      <c r="E57" s="116"/>
      <c r="F57" s="117" t="s">
        <v>111</v>
      </c>
      <c r="G57" s="115"/>
      <c r="H57" s="118">
        <f>E56</f>
        <v>3.3120000000000003</v>
      </c>
      <c r="I57" s="92"/>
    </row>
    <row r="58" spans="1:9" ht="15">
      <c r="A58" s="78"/>
      <c r="B58" s="113"/>
      <c r="C58" s="114"/>
      <c r="D58" s="116"/>
      <c r="E58" s="116"/>
      <c r="F58" s="116"/>
      <c r="G58" s="119" t="s">
        <v>112</v>
      </c>
      <c r="H58" s="118">
        <f>SUM(H56:H57)</f>
        <v>3.527</v>
      </c>
      <c r="I58" s="120"/>
    </row>
    <row r="59" spans="1:9" ht="15">
      <c r="A59" s="78"/>
      <c r="B59" s="113"/>
      <c r="C59" s="121"/>
      <c r="D59" s="111"/>
      <c r="E59" s="111"/>
      <c r="F59" s="111"/>
      <c r="G59" s="109" t="s">
        <v>113</v>
      </c>
      <c r="H59" s="122">
        <f>H58*1.25</f>
        <v>4.40875</v>
      </c>
      <c r="I59" s="123"/>
    </row>
    <row r="60" spans="1:9" ht="15" thickBot="1">
      <c r="A60" s="126"/>
      <c r="B60" s="127"/>
      <c r="C60" s="127"/>
      <c r="D60" s="127"/>
      <c r="E60" s="127"/>
      <c r="F60" s="127"/>
      <c r="G60" s="127"/>
      <c r="H60" s="127"/>
      <c r="I60" s="128"/>
    </row>
  </sheetData>
  <sheetProtection algorithmName="SHA-512" hashValue="r0aawfOpgQC2G21+QKsO62uSSKpOVpm4v6LkEJk2l5FkhBk9w+F2rafTO532TdXUq34wZEwuSyHrNrf7cRhNKg==" saltValue="jmXK2EphroIqE2GCUoXOXg==" spinCount="100000" sheet="1" objects="1" scenarios="1" selectLockedCells="1"/>
  <mergeCells count="11">
    <mergeCell ref="C2:H2"/>
    <mergeCell ref="C3:E3"/>
    <mergeCell ref="G3:H3"/>
    <mergeCell ref="E41:G41"/>
    <mergeCell ref="C34:D34"/>
    <mergeCell ref="C35:D35"/>
    <mergeCell ref="C36:D36"/>
    <mergeCell ref="C37:D37"/>
    <mergeCell ref="C38:D38"/>
    <mergeCell ref="C39:D39"/>
    <mergeCell ref="C41:D41"/>
  </mergeCells>
  <conditionalFormatting sqref="C21:G21">
    <cfRule type="expression" priority="25" dxfId="41" stopIfTrue="1">
      <formula>$B$21=""</formula>
    </cfRule>
  </conditionalFormatting>
  <conditionalFormatting sqref="F26:G27">
    <cfRule type="expression" priority="26" dxfId="40" stopIfTrue="1">
      <formula>$B$26=""</formula>
    </cfRule>
  </conditionalFormatting>
  <conditionalFormatting sqref="C41:D41">
    <cfRule type="cellIs" priority="27" dxfId="54" operator="equal" stopIfTrue="1">
      <formula>"NONE"</formula>
    </cfRule>
  </conditionalFormatting>
  <conditionalFormatting sqref="H28">
    <cfRule type="cellIs" priority="28" operator="lessThanOrEqual" stopIfTrue="1">
      <formula>3</formula>
    </cfRule>
    <cfRule type="expression" priority="29" dxfId="32" stopIfTrue="1">
      <formula>$B$6="5100"</formula>
    </cfRule>
    <cfRule type="cellIs" priority="30" dxfId="32" operator="greaterThan" stopIfTrue="1">
      <formula>5.001</formula>
    </cfRule>
  </conditionalFormatting>
  <conditionalFormatting sqref="C11:G11 D10:G10">
    <cfRule type="expression" priority="31" dxfId="21" stopIfTrue="1">
      <formula>$B$6=5100</formula>
    </cfRule>
  </conditionalFormatting>
  <conditionalFormatting sqref="C12:G15">
    <cfRule type="expression" priority="32" dxfId="21" stopIfTrue="1">
      <formula>$B$6=5100</formula>
    </cfRule>
    <cfRule type="expression" priority="33" dxfId="21" stopIfTrue="1">
      <formula>$B$6=5200</formula>
    </cfRule>
  </conditionalFormatting>
  <conditionalFormatting sqref="E41:G41">
    <cfRule type="cellIs" priority="34" dxfId="48" operator="notEqual" stopIfTrue="1">
      <formula>""</formula>
    </cfRule>
  </conditionalFormatting>
  <conditionalFormatting sqref="H32">
    <cfRule type="cellIs" priority="35" dxfId="37" operator="lessThanOrEqual" stopIfTrue="1">
      <formula>25</formula>
    </cfRule>
    <cfRule type="expression" priority="36" dxfId="32" stopIfTrue="1">
      <formula>$B$6=5100</formula>
    </cfRule>
    <cfRule type="cellIs" priority="37" dxfId="32" operator="greaterThan" stopIfTrue="1">
      <formula>45.01</formula>
    </cfRule>
  </conditionalFormatting>
  <conditionalFormatting sqref="E28">
    <cfRule type="cellIs" priority="38" dxfId="34" operator="lessThanOrEqual" stopIfTrue="1">
      <formula>1.6</formula>
    </cfRule>
    <cfRule type="expression" priority="39" dxfId="32" stopIfTrue="1">
      <formula>$B$6=5100</formula>
    </cfRule>
    <cfRule type="cellIs" priority="40" dxfId="32" operator="greaterThan" stopIfTrue="1">
      <formula>2.601</formula>
    </cfRule>
  </conditionalFormatting>
  <conditionalFormatting sqref="C48:G48">
    <cfRule type="expression" priority="14" dxfId="41" stopIfTrue="1">
      <formula>$B$9=""</formula>
    </cfRule>
  </conditionalFormatting>
  <conditionalFormatting sqref="F53:G54">
    <cfRule type="expression" priority="15" dxfId="40" stopIfTrue="1">
      <formula>$B$14=""</formula>
    </cfRule>
  </conditionalFormatting>
  <conditionalFormatting sqref="H55">
    <cfRule type="cellIs" priority="16" operator="lessThanOrEqual" stopIfTrue="1">
      <formula>3</formula>
    </cfRule>
    <cfRule type="expression" priority="17" dxfId="32" stopIfTrue="1">
      <formula>$B$6="5100"</formula>
    </cfRule>
    <cfRule type="cellIs" priority="18" dxfId="32" operator="greaterThan" stopIfTrue="1">
      <formula>5.001</formula>
    </cfRule>
  </conditionalFormatting>
  <conditionalFormatting sqref="H59">
    <cfRule type="cellIs" priority="19" dxfId="37" operator="lessThanOrEqual" stopIfTrue="1">
      <formula>25</formula>
    </cfRule>
    <cfRule type="expression" priority="20" dxfId="32" stopIfTrue="1">
      <formula>$B$6=5100</formula>
    </cfRule>
    <cfRule type="cellIs" priority="21" dxfId="32" operator="greaterThan" stopIfTrue="1">
      <formula>45.01</formula>
    </cfRule>
  </conditionalFormatting>
  <conditionalFormatting sqref="E55">
    <cfRule type="cellIs" priority="22" dxfId="34" operator="lessThanOrEqual" stopIfTrue="1">
      <formula>1.6</formula>
    </cfRule>
    <cfRule type="expression" priority="23" dxfId="32" stopIfTrue="1">
      <formula>$B$6=5100</formula>
    </cfRule>
    <cfRule type="cellIs" priority="24" dxfId="32" operator="greaterThan" stopIfTrue="1">
      <formula>2.601</formula>
    </cfRule>
  </conditionalFormatting>
  <conditionalFormatting sqref="R6">
    <cfRule type="cellIs" priority="12" dxfId="1" operator="lessThan">
      <formula>942</formula>
    </cfRule>
    <cfRule type="cellIs" priority="13" dxfId="0" operator="greaterThan">
      <formula>900</formula>
    </cfRule>
  </conditionalFormatting>
  <conditionalFormatting sqref="Q9:V9">
    <cfRule type="cellIs" priority="10" dxfId="0" operator="equal">
      <formula>"Loop not ok"</formula>
    </cfRule>
    <cfRule type="cellIs" priority="11" dxfId="1" operator="equal">
      <formula>"Loop OK"</formula>
    </cfRule>
  </conditionalFormatting>
  <conditionalFormatting sqref="Q11">
    <cfRule type="cellIs" priority="8" dxfId="0" operator="equal">
      <formula>"Loop not ok"</formula>
    </cfRule>
    <cfRule type="cellIs" priority="9" dxfId="1" operator="equal">
      <formula>"Loop ok"</formula>
    </cfRule>
  </conditionalFormatting>
  <conditionalFormatting sqref="Q13">
    <cfRule type="cellIs" priority="6" dxfId="0" operator="equal">
      <formula>"Loop not ok"</formula>
    </cfRule>
    <cfRule type="cellIs" priority="7" dxfId="1" operator="equal">
      <formula>"Loop ok"</formula>
    </cfRule>
  </conditionalFormatting>
  <conditionalFormatting sqref="Q15">
    <cfRule type="cellIs" priority="4" dxfId="0" operator="equal">
      <formula>"Loop not ok"</formula>
    </cfRule>
    <cfRule type="cellIs" priority="5" dxfId="1" operator="equal">
      <formula>"Loop ok"</formula>
    </cfRule>
  </conditionalFormatting>
  <conditionalFormatting sqref="C10">
    <cfRule type="expression" priority="1" dxfId="21" stopIfTrue="1">
      <formula>$B$6=5100</formula>
    </cfRule>
  </conditionalFormatting>
  <dataValidations count="20">
    <dataValidation operator="equal" allowBlank="1" showInputMessage="1" showErrorMessage="1" promptTitle="DATE" prompt="Enter date in dd/mm/yyyy format" sqref="G3:H3"/>
    <dataValidation allowBlank="1" showInputMessage="1" showErrorMessage="1" promptTitle="YOUR NAME" prompt="Enter your name" sqref="C3:E3"/>
    <dataValidation allowBlank="1" showInputMessage="1" showErrorMessage="1" promptTitle="PROJECT" prompt="Enter the name of the project / building to which this design applies" sqref="C2:H2"/>
    <dataValidation type="list" allowBlank="1" showInputMessage="1" showErrorMessage="1" promptTitle="PANEL TYPE" prompt="Select the required panel type" sqref="B6">
      <formula1>$O$12:$O$14</formula1>
    </dataValidation>
    <dataValidation type="decimal" allowBlank="1" showInputMessage="1" showErrorMessage="1" promptTitle="PANEL AUX LOAD" prompt="Enter quiescent load supplied from Panel AUX" errorTitle="AUX LOAD MAXIMUM" error="Range is 0 to 0.5A" sqref="C22">
      <formula1>0</formula1>
      <formula2>0.5</formula2>
    </dataValidation>
    <dataValidation type="decimal" allowBlank="1" showInputMessage="1" showErrorMessage="1" promptTitle="AUX LOAD" prompt="Enter alarm load taken by FAT and Routers" errorTitle="AUX LOAD" error="Range is 0 to 0.5A" sqref="F21 F48">
      <formula1>0</formula1>
      <formula2>0.5</formula2>
    </dataValidation>
    <dataValidation type="decimal" allowBlank="1" showInputMessage="1" showErrorMessage="1" promptTitle="AUX LOAD" prompt="Enter quiescent load taken by FAT and Routers" errorTitle="AUX LOAD" error="Range is 0 to 0.5A" sqref="C21 C48">
      <formula1>0</formula1>
      <formula2>0.5</formula2>
    </dataValidation>
    <dataValidation type="list" allowBlank="1" showInputMessage="1" showErrorMessage="1" sqref="C29">
      <formula1>$O$6:$O$9</formula1>
    </dataValidation>
    <dataValidation type="decimal" allowBlank="1" showInputMessage="1" showErrorMessage="1" promptTitle="PANEL AUX LOAD" prompt="Enter alarm load supplied from Panel AUX" errorTitle="AUX LOAD" error="Range is 0 to 0.5A" sqref="F22">
      <formula1>0</formula1>
      <formula2>0.5</formula2>
    </dataValidation>
    <dataValidation type="decimal" allowBlank="1" showInputMessage="1" showErrorMessage="1" promptTitle="SOUNDER LOAD" prompt="Range: 0 to 1A" errorTitle="SOUNDER LOAD" error="Range is 0 to 1.0A" sqref="F24:F27 F53:F54">
      <formula1>0</formula1>
      <formula2>1</formula2>
    </dataValidation>
    <dataValidation type="list" allowBlank="1" showInputMessage="1" showErrorMessage="1" sqref="C39">
      <formula1>$K$29:$K$31</formula1>
    </dataValidation>
    <dataValidation type="list" allowBlank="1" showInputMessage="1" showErrorMessage="1" sqref="C38">
      <formula1>$K$26:$K$27</formula1>
    </dataValidation>
    <dataValidation type="list" allowBlank="1" showInputMessage="1" showErrorMessage="1" sqref="C37">
      <formula1>$K$19:$K$24</formula1>
    </dataValidation>
    <dataValidation type="list" allowBlank="1" showInputMessage="1" showErrorMessage="1" sqref="C36">
      <formula1>$K$14:$K$16</formula1>
    </dataValidation>
    <dataValidation type="list" allowBlank="1" showInputMessage="1" showErrorMessage="1" sqref="C35">
      <formula1>$K$10:$K$12</formula1>
    </dataValidation>
    <dataValidation type="list" allowBlank="1" showInputMessage="1" showErrorMessage="1" sqref="C34:D34">
      <formula1>$K$6:$K$8</formula1>
    </dataValidation>
    <dataValidation type="decimal" allowBlank="1" showInputMessage="1" showErrorMessage="1" promptTitle="SOUNDER LOAD" prompt="Range: 0 to 0.1A" errorTitle="SOUNDER LOAD" error="Range is 0 to 0.1A" sqref="F51:F52">
      <formula1>0</formula1>
      <formula2>0.1</formula2>
    </dataValidation>
    <dataValidation type="decimal" allowBlank="1" showInputMessage="1" showErrorMessage="1" promptTitle="PANEL AUX LOAD" prompt="Enter quiescent load supplied from Panel AUX. Max 0.1A" errorTitle="AUX LOAD MAXIMUM" error="Range is 0 to 0.1A" sqref="C49">
      <formula1>0</formula1>
      <formula2>0.1</formula2>
    </dataValidation>
    <dataValidation type="list" allowBlank="1" showInputMessage="1" showErrorMessage="1" sqref="C56">
      <formula1>$O$6:$O$8</formula1>
    </dataValidation>
    <dataValidation type="decimal" allowBlank="1" showInputMessage="1" showErrorMessage="1" promptTitle="PANEL AUX LOAD" prompt="Enter alarm load supplied from Panel AUX. Max 0.1A" errorTitle="AUX LOAD" error="Range is 0 to 0.1A" sqref="F49">
      <formula1>0</formula1>
      <formula2>0.1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workbookViewId="0" topLeftCell="A55">
      <selection activeCell="C77" sqref="C77"/>
    </sheetView>
  </sheetViews>
  <sheetFormatPr defaultColWidth="9.140625" defaultRowHeight="15"/>
  <cols>
    <col min="1" max="1" width="65.57421875" style="26" customWidth="1"/>
    <col min="2" max="2" width="5.28125" style="23" customWidth="1"/>
    <col min="3" max="3" width="12.421875" style="26" customWidth="1"/>
    <col min="4" max="4" width="18.421875" style="26" customWidth="1"/>
    <col min="5" max="6" width="19.7109375" style="26" customWidth="1"/>
    <col min="7" max="8" width="13.57421875" style="26" customWidth="1"/>
    <col min="9" max="9" width="16.7109375" style="26" customWidth="1"/>
    <col min="10" max="16384" width="8.8515625" style="27" customWidth="1"/>
  </cols>
  <sheetData>
    <row r="1" spans="1:2" ht="30" customHeight="1" thickBot="1">
      <c r="A1" s="25" t="s">
        <v>55</v>
      </c>
      <c r="B1" s="74" t="s">
        <v>159</v>
      </c>
    </row>
    <row r="2" spans="1:9" ht="15.75" customHeight="1">
      <c r="A2" s="157" t="s">
        <v>187</v>
      </c>
      <c r="B2" s="13"/>
      <c r="C2" s="28"/>
      <c r="D2" s="28"/>
      <c r="E2" s="28"/>
      <c r="F2" s="28"/>
      <c r="G2" s="28" t="s">
        <v>86</v>
      </c>
      <c r="H2" s="28"/>
      <c r="I2" s="29"/>
    </row>
    <row r="3" spans="1:9" ht="15.6" customHeight="1">
      <c r="A3" s="158" t="s">
        <v>6</v>
      </c>
      <c r="B3" s="14" t="s">
        <v>49</v>
      </c>
      <c r="C3" s="30" t="s">
        <v>51</v>
      </c>
      <c r="D3" s="30" t="s">
        <v>50</v>
      </c>
      <c r="E3" s="30" t="s">
        <v>52</v>
      </c>
      <c r="F3" s="30" t="s">
        <v>53</v>
      </c>
      <c r="G3" s="30" t="s">
        <v>87</v>
      </c>
      <c r="H3" s="30" t="s">
        <v>88</v>
      </c>
      <c r="I3" s="31" t="s">
        <v>54</v>
      </c>
    </row>
    <row r="4" spans="1:9" ht="15.6" customHeight="1" thickBot="1">
      <c r="A4" s="171"/>
      <c r="B4" s="14"/>
      <c r="C4" s="30"/>
      <c r="D4" s="30"/>
      <c r="E4" s="30"/>
      <c r="F4" s="32"/>
      <c r="G4" s="32"/>
      <c r="H4" s="32"/>
      <c r="I4" s="31"/>
    </row>
    <row r="5" spans="1:9" ht="15.6" customHeight="1">
      <c r="A5" s="63" t="s">
        <v>160</v>
      </c>
      <c r="B5" s="15">
        <v>8</v>
      </c>
      <c r="C5" s="43">
        <v>0</v>
      </c>
      <c r="D5" s="44">
        <f>B5*C5</f>
        <v>0</v>
      </c>
      <c r="E5" s="45">
        <v>0.005</v>
      </c>
      <c r="F5" s="46">
        <f>B5*E5</f>
        <v>0.04</v>
      </c>
      <c r="G5" s="47">
        <v>0</v>
      </c>
      <c r="H5" s="48"/>
      <c r="I5" s="34"/>
    </row>
    <row r="6" spans="1:9" ht="15.6" customHeight="1">
      <c r="A6" s="64" t="s">
        <v>7</v>
      </c>
      <c r="B6" s="16"/>
      <c r="C6" s="49">
        <v>0.0002</v>
      </c>
      <c r="D6" s="50">
        <f>B6*C6</f>
        <v>0</v>
      </c>
      <c r="E6" s="50">
        <v>0.0002</v>
      </c>
      <c r="F6" s="51">
        <f>B6*E6</f>
        <v>0</v>
      </c>
      <c r="G6" s="47">
        <v>1</v>
      </c>
      <c r="H6" s="47">
        <f>B6*G6</f>
        <v>0</v>
      </c>
      <c r="I6" s="35"/>
    </row>
    <row r="7" spans="1:9" ht="15.6" customHeight="1">
      <c r="A7" s="64" t="s">
        <v>8</v>
      </c>
      <c r="B7" s="16"/>
      <c r="C7" s="49">
        <v>0.0002</v>
      </c>
      <c r="D7" s="50">
        <f aca="true" t="shared" si="0" ref="D7:D59">B7*C7</f>
        <v>0</v>
      </c>
      <c r="E7" s="50">
        <v>0.0002</v>
      </c>
      <c r="F7" s="51">
        <f aca="true" t="shared" si="1" ref="F7:H59">B7*E7</f>
        <v>0</v>
      </c>
      <c r="G7" s="47">
        <v>1</v>
      </c>
      <c r="H7" s="47">
        <f aca="true" t="shared" si="2" ref="H7:H59">B7*G7</f>
        <v>0</v>
      </c>
      <c r="I7" s="35"/>
    </row>
    <row r="8" spans="1:9" ht="15.6" customHeight="1">
      <c r="A8" s="64" t="s">
        <v>9</v>
      </c>
      <c r="B8" s="16"/>
      <c r="C8" s="49">
        <v>0.0002</v>
      </c>
      <c r="D8" s="50">
        <f t="shared" si="0"/>
        <v>0</v>
      </c>
      <c r="E8" s="50">
        <v>0.0002</v>
      </c>
      <c r="F8" s="51">
        <f t="shared" si="1"/>
        <v>0</v>
      </c>
      <c r="G8" s="47">
        <v>1</v>
      </c>
      <c r="H8" s="47">
        <f t="shared" si="2"/>
        <v>0</v>
      </c>
      <c r="I8" s="35"/>
    </row>
    <row r="9" spans="1:11" ht="15.6" customHeight="1">
      <c r="A9" s="64" t="s">
        <v>10</v>
      </c>
      <c r="B9" s="16"/>
      <c r="C9" s="49">
        <v>0.0002</v>
      </c>
      <c r="D9" s="50">
        <f t="shared" si="0"/>
        <v>0</v>
      </c>
      <c r="E9" s="50">
        <v>0.0002</v>
      </c>
      <c r="F9" s="51">
        <f t="shared" si="1"/>
        <v>0</v>
      </c>
      <c r="G9" s="47">
        <v>1</v>
      </c>
      <c r="H9" s="47">
        <f t="shared" si="2"/>
        <v>0</v>
      </c>
      <c r="I9" s="35"/>
      <c r="K9" s="172"/>
    </row>
    <row r="10" spans="1:9" ht="15.6" customHeight="1">
      <c r="A10" s="64" t="s">
        <v>11</v>
      </c>
      <c r="B10" s="16"/>
      <c r="C10" s="49">
        <v>0.0002</v>
      </c>
      <c r="D10" s="50">
        <f t="shared" si="0"/>
        <v>0</v>
      </c>
      <c r="E10" s="50">
        <v>0.0002</v>
      </c>
      <c r="F10" s="51">
        <f t="shared" si="1"/>
        <v>0</v>
      </c>
      <c r="G10" s="47">
        <v>2</v>
      </c>
      <c r="H10" s="47">
        <f t="shared" si="2"/>
        <v>0</v>
      </c>
      <c r="I10" s="35"/>
    </row>
    <row r="11" spans="1:9" ht="15.6" customHeight="1">
      <c r="A11" s="174" t="s">
        <v>17</v>
      </c>
      <c r="B11" s="16"/>
      <c r="C11" s="49">
        <v>0.0002</v>
      </c>
      <c r="D11" s="50">
        <f t="shared" si="0"/>
        <v>0</v>
      </c>
      <c r="E11" s="50">
        <v>0.0002</v>
      </c>
      <c r="F11" s="51">
        <f t="shared" si="1"/>
        <v>0</v>
      </c>
      <c r="G11" s="47">
        <v>2</v>
      </c>
      <c r="H11" s="47">
        <f t="shared" si="2"/>
        <v>0</v>
      </c>
      <c r="I11" s="35"/>
    </row>
    <row r="12" spans="1:9" ht="15.6" customHeight="1">
      <c r="A12" s="174" t="s">
        <v>12</v>
      </c>
      <c r="B12" s="16"/>
      <c r="C12" s="49">
        <v>0.0002</v>
      </c>
      <c r="D12" s="50">
        <f t="shared" si="0"/>
        <v>0</v>
      </c>
      <c r="E12" s="50">
        <v>0.0002</v>
      </c>
      <c r="F12" s="51">
        <f t="shared" si="1"/>
        <v>0</v>
      </c>
      <c r="G12" s="47">
        <v>2</v>
      </c>
      <c r="H12" s="47">
        <f t="shared" si="2"/>
        <v>0</v>
      </c>
      <c r="I12" s="35"/>
    </row>
    <row r="13" spans="1:9" ht="15.6" customHeight="1">
      <c r="A13" s="64" t="s">
        <v>13</v>
      </c>
      <c r="B13" s="16"/>
      <c r="C13" s="49">
        <v>0.0002</v>
      </c>
      <c r="D13" s="50">
        <f t="shared" si="0"/>
        <v>0</v>
      </c>
      <c r="E13" s="51">
        <v>0.0035</v>
      </c>
      <c r="F13" s="51">
        <f t="shared" si="1"/>
        <v>0</v>
      </c>
      <c r="G13" s="47">
        <v>2</v>
      </c>
      <c r="H13" s="47">
        <f t="shared" si="2"/>
        <v>0</v>
      </c>
      <c r="I13" s="35"/>
    </row>
    <row r="14" spans="1:9" ht="15">
      <c r="A14" s="65" t="s">
        <v>40</v>
      </c>
      <c r="B14" s="17"/>
      <c r="C14" s="52">
        <v>0.0002</v>
      </c>
      <c r="D14" s="53">
        <f t="shared" si="0"/>
        <v>0</v>
      </c>
      <c r="E14" s="47">
        <v>0.0035</v>
      </c>
      <c r="F14" s="54">
        <f t="shared" si="1"/>
        <v>0</v>
      </c>
      <c r="G14" s="54">
        <v>2</v>
      </c>
      <c r="H14" s="47">
        <f t="shared" si="2"/>
        <v>0</v>
      </c>
      <c r="I14" s="33"/>
    </row>
    <row r="15" spans="1:9" ht="15.6" customHeight="1">
      <c r="A15" s="66"/>
      <c r="B15" s="18"/>
      <c r="C15" s="55"/>
      <c r="D15" s="50"/>
      <c r="E15" s="56"/>
      <c r="F15" s="51"/>
      <c r="G15" s="51"/>
      <c r="H15" s="47"/>
      <c r="I15" s="37"/>
    </row>
    <row r="16" spans="1:9" ht="15.6" customHeight="1">
      <c r="A16" s="67" t="s">
        <v>27</v>
      </c>
      <c r="B16" s="19"/>
      <c r="C16" s="49">
        <v>0</v>
      </c>
      <c r="D16" s="50">
        <f t="shared" si="0"/>
        <v>0</v>
      </c>
      <c r="E16" s="50">
        <v>0</v>
      </c>
      <c r="F16" s="51">
        <f t="shared" si="1"/>
        <v>0</v>
      </c>
      <c r="G16" s="51">
        <v>0</v>
      </c>
      <c r="H16" s="47">
        <f t="shared" si="2"/>
        <v>0</v>
      </c>
      <c r="I16" s="37"/>
    </row>
    <row r="17" spans="1:9" ht="15.6" customHeight="1">
      <c r="A17" s="67" t="s">
        <v>28</v>
      </c>
      <c r="B17" s="19"/>
      <c r="C17" s="57">
        <v>0</v>
      </c>
      <c r="D17" s="50">
        <f t="shared" si="0"/>
        <v>0</v>
      </c>
      <c r="E17" s="58">
        <v>0</v>
      </c>
      <c r="F17" s="51">
        <f t="shared" si="1"/>
        <v>0</v>
      </c>
      <c r="G17" s="51">
        <v>0</v>
      </c>
      <c r="H17" s="47">
        <f t="shared" si="2"/>
        <v>0</v>
      </c>
      <c r="I17" s="38"/>
    </row>
    <row r="18" spans="1:9" ht="15.6" customHeight="1">
      <c r="A18" s="173" t="s">
        <v>18</v>
      </c>
      <c r="B18" s="19"/>
      <c r="C18" s="60">
        <v>6E-05</v>
      </c>
      <c r="D18" s="50">
        <f t="shared" si="0"/>
        <v>0</v>
      </c>
      <c r="E18" s="59">
        <v>6E-05</v>
      </c>
      <c r="F18" s="51">
        <f t="shared" si="1"/>
        <v>0</v>
      </c>
      <c r="G18" s="51">
        <v>0</v>
      </c>
      <c r="H18" s="47">
        <f t="shared" si="2"/>
        <v>0</v>
      </c>
      <c r="I18" s="36"/>
    </row>
    <row r="19" spans="1:9" ht="15.6" customHeight="1">
      <c r="A19" s="173" t="s">
        <v>19</v>
      </c>
      <c r="B19" s="19"/>
      <c r="C19" s="60">
        <v>6E-05</v>
      </c>
      <c r="D19" s="50">
        <f t="shared" si="0"/>
        <v>0</v>
      </c>
      <c r="E19" s="59">
        <v>6E-05</v>
      </c>
      <c r="F19" s="51">
        <f t="shared" si="1"/>
        <v>0</v>
      </c>
      <c r="G19" s="51">
        <v>0</v>
      </c>
      <c r="H19" s="47">
        <f t="shared" si="2"/>
        <v>0</v>
      </c>
      <c r="I19" s="36"/>
    </row>
    <row r="20" spans="1:27" ht="15.6" customHeight="1">
      <c r="A20" s="173" t="s">
        <v>20</v>
      </c>
      <c r="B20" s="19"/>
      <c r="C20" s="60">
        <v>6E-05</v>
      </c>
      <c r="D20" s="50">
        <f t="shared" si="0"/>
        <v>0</v>
      </c>
      <c r="E20" s="59">
        <v>6E-05</v>
      </c>
      <c r="F20" s="51">
        <f t="shared" si="1"/>
        <v>0</v>
      </c>
      <c r="G20" s="51">
        <v>0</v>
      </c>
      <c r="H20" s="47">
        <f t="shared" si="2"/>
        <v>0</v>
      </c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5.6" customHeight="1">
      <c r="A21" s="66" t="s">
        <v>14</v>
      </c>
      <c r="B21" s="18"/>
      <c r="C21" s="49">
        <v>0.0002</v>
      </c>
      <c r="D21" s="50">
        <f t="shared" si="0"/>
        <v>0</v>
      </c>
      <c r="E21" s="50">
        <v>0.0002</v>
      </c>
      <c r="F21" s="51">
        <f t="shared" si="1"/>
        <v>0</v>
      </c>
      <c r="G21" s="51">
        <v>1</v>
      </c>
      <c r="H21" s="47">
        <f t="shared" si="2"/>
        <v>0</v>
      </c>
      <c r="I21" s="3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9" ht="15.6" customHeight="1">
      <c r="A22" s="66" t="s">
        <v>15</v>
      </c>
      <c r="B22" s="18"/>
      <c r="C22" s="49">
        <v>0.0002</v>
      </c>
      <c r="D22" s="50">
        <f t="shared" si="0"/>
        <v>0</v>
      </c>
      <c r="E22" s="50">
        <v>0.0002</v>
      </c>
      <c r="F22" s="51">
        <f t="shared" si="1"/>
        <v>0</v>
      </c>
      <c r="G22" s="51">
        <v>1</v>
      </c>
      <c r="H22" s="47">
        <f t="shared" si="2"/>
        <v>0</v>
      </c>
      <c r="I22" s="38"/>
    </row>
    <row r="23" spans="1:9" ht="15">
      <c r="A23" s="65" t="s">
        <v>37</v>
      </c>
      <c r="B23" s="17"/>
      <c r="C23" s="52">
        <v>0.0002</v>
      </c>
      <c r="D23" s="53">
        <f t="shared" si="0"/>
        <v>0</v>
      </c>
      <c r="E23" s="53">
        <v>0.0002</v>
      </c>
      <c r="F23" s="54">
        <f t="shared" si="1"/>
        <v>0</v>
      </c>
      <c r="G23" s="54">
        <v>1</v>
      </c>
      <c r="H23" s="47">
        <f t="shared" si="2"/>
        <v>0</v>
      </c>
      <c r="I23" s="33"/>
    </row>
    <row r="24" spans="1:9" ht="15">
      <c r="A24" s="65" t="s">
        <v>38</v>
      </c>
      <c r="B24" s="17"/>
      <c r="C24" s="52">
        <v>0.0002</v>
      </c>
      <c r="D24" s="53">
        <f t="shared" si="0"/>
        <v>0</v>
      </c>
      <c r="E24" s="53">
        <v>0.0002</v>
      </c>
      <c r="F24" s="54">
        <f t="shared" si="1"/>
        <v>0</v>
      </c>
      <c r="G24" s="54">
        <v>1</v>
      </c>
      <c r="H24" s="47">
        <f t="shared" si="2"/>
        <v>0</v>
      </c>
      <c r="I24" s="33"/>
    </row>
    <row r="25" spans="1:9" ht="15.6" customHeight="1">
      <c r="A25" s="173" t="s">
        <v>29</v>
      </c>
      <c r="B25" s="19"/>
      <c r="C25" s="49">
        <v>0.0002</v>
      </c>
      <c r="D25" s="50">
        <f t="shared" si="0"/>
        <v>0</v>
      </c>
      <c r="E25" s="50">
        <v>0.0002</v>
      </c>
      <c r="F25" s="51">
        <f t="shared" si="1"/>
        <v>0</v>
      </c>
      <c r="G25" s="51">
        <v>1</v>
      </c>
      <c r="H25" s="47">
        <f t="shared" si="2"/>
        <v>0</v>
      </c>
      <c r="I25" s="36"/>
    </row>
    <row r="26" spans="1:9" ht="15.6" customHeight="1">
      <c r="A26" s="173" t="s">
        <v>30</v>
      </c>
      <c r="B26" s="19"/>
      <c r="C26" s="49">
        <v>0.0002</v>
      </c>
      <c r="D26" s="50">
        <f t="shared" si="0"/>
        <v>0</v>
      </c>
      <c r="E26" s="50">
        <v>0.0002</v>
      </c>
      <c r="F26" s="51">
        <f t="shared" si="1"/>
        <v>0</v>
      </c>
      <c r="G26" s="51">
        <v>1</v>
      </c>
      <c r="H26" s="47">
        <f t="shared" si="2"/>
        <v>0</v>
      </c>
      <c r="I26" s="36"/>
    </row>
    <row r="27" spans="1:9" ht="15.6" customHeight="1">
      <c r="A27" s="66"/>
      <c r="B27" s="18"/>
      <c r="C27" s="57"/>
      <c r="D27" s="50"/>
      <c r="E27" s="58"/>
      <c r="F27" s="51"/>
      <c r="G27" s="51"/>
      <c r="H27" s="47"/>
      <c r="I27" s="38"/>
    </row>
    <row r="28" spans="1:27" ht="15.6" customHeight="1">
      <c r="A28" s="67" t="s">
        <v>22</v>
      </c>
      <c r="B28" s="19"/>
      <c r="C28" s="60">
        <v>0.0002</v>
      </c>
      <c r="D28" s="50">
        <f t="shared" si="0"/>
        <v>0</v>
      </c>
      <c r="E28" s="59">
        <v>0.0068</v>
      </c>
      <c r="F28" s="51">
        <f t="shared" si="1"/>
        <v>0</v>
      </c>
      <c r="G28" s="51">
        <v>1</v>
      </c>
      <c r="H28" s="47">
        <f t="shared" si="2"/>
        <v>0</v>
      </c>
      <c r="I28" s="3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6" customHeight="1">
      <c r="A29" s="67" t="s">
        <v>21</v>
      </c>
      <c r="B29" s="19"/>
      <c r="C29" s="60">
        <v>0.0002</v>
      </c>
      <c r="D29" s="50">
        <f t="shared" si="0"/>
        <v>0</v>
      </c>
      <c r="E29" s="59">
        <v>0.0068</v>
      </c>
      <c r="F29" s="51">
        <f t="shared" si="1"/>
        <v>0</v>
      </c>
      <c r="G29" s="51">
        <v>1</v>
      </c>
      <c r="H29" s="47">
        <f t="shared" si="2"/>
        <v>0</v>
      </c>
      <c r="I29" s="3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.6" customHeight="1">
      <c r="A30" s="66"/>
      <c r="B30" s="18"/>
      <c r="C30" s="57"/>
      <c r="D30" s="50"/>
      <c r="E30" s="58"/>
      <c r="F30" s="51"/>
      <c r="G30" s="51"/>
      <c r="H30" s="47"/>
      <c r="I30" s="3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.6" customHeight="1">
      <c r="A31" s="65" t="s">
        <v>26</v>
      </c>
      <c r="B31" s="20"/>
      <c r="C31" s="60">
        <v>0.0002</v>
      </c>
      <c r="D31" s="50">
        <f t="shared" si="0"/>
        <v>0</v>
      </c>
      <c r="E31" s="58">
        <v>0.02</v>
      </c>
      <c r="F31" s="51">
        <f t="shared" si="1"/>
        <v>0</v>
      </c>
      <c r="G31" s="51">
        <v>1</v>
      </c>
      <c r="H31" s="47">
        <f t="shared" si="2"/>
        <v>0</v>
      </c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9" ht="15.6" customHeight="1">
      <c r="A32" s="65" t="s">
        <v>34</v>
      </c>
      <c r="B32" s="20"/>
      <c r="C32" s="60">
        <v>0.0002</v>
      </c>
      <c r="D32" s="50">
        <f t="shared" si="0"/>
        <v>0</v>
      </c>
      <c r="E32" s="58">
        <v>0.02</v>
      </c>
      <c r="F32" s="51">
        <f t="shared" si="1"/>
        <v>0</v>
      </c>
      <c r="G32" s="51">
        <v>1</v>
      </c>
      <c r="H32" s="47">
        <f t="shared" si="2"/>
        <v>0</v>
      </c>
      <c r="I32" s="36"/>
    </row>
    <row r="33" spans="1:9" ht="15.6" customHeight="1">
      <c r="A33" s="65" t="s">
        <v>35</v>
      </c>
      <c r="B33" s="20"/>
      <c r="C33" s="60">
        <v>0.0002</v>
      </c>
      <c r="D33" s="50">
        <f t="shared" si="0"/>
        <v>0</v>
      </c>
      <c r="E33" s="58">
        <v>0.02</v>
      </c>
      <c r="F33" s="51">
        <f t="shared" si="1"/>
        <v>0</v>
      </c>
      <c r="G33" s="51">
        <v>1</v>
      </c>
      <c r="H33" s="47">
        <f t="shared" si="2"/>
        <v>0</v>
      </c>
      <c r="I33" s="36"/>
    </row>
    <row r="34" spans="1:9" ht="15.6" customHeight="1">
      <c r="A34" s="66" t="s">
        <v>23</v>
      </c>
      <c r="B34" s="18"/>
      <c r="C34" s="60">
        <v>0.0002</v>
      </c>
      <c r="D34" s="50">
        <f t="shared" si="0"/>
        <v>0</v>
      </c>
      <c r="E34" s="58">
        <v>0.02</v>
      </c>
      <c r="F34" s="51">
        <f t="shared" si="1"/>
        <v>0</v>
      </c>
      <c r="G34" s="51">
        <v>1</v>
      </c>
      <c r="H34" s="47">
        <f t="shared" si="2"/>
        <v>0</v>
      </c>
      <c r="I34" s="38"/>
    </row>
    <row r="35" spans="1:9" ht="15.6" customHeight="1">
      <c r="A35" s="66" t="s">
        <v>24</v>
      </c>
      <c r="B35" s="18"/>
      <c r="C35" s="60">
        <v>0.0002</v>
      </c>
      <c r="D35" s="50">
        <f t="shared" si="0"/>
        <v>0</v>
      </c>
      <c r="E35" s="58">
        <v>0.02</v>
      </c>
      <c r="F35" s="51">
        <f t="shared" si="1"/>
        <v>0</v>
      </c>
      <c r="G35" s="51">
        <v>1</v>
      </c>
      <c r="H35" s="47">
        <f t="shared" si="2"/>
        <v>0</v>
      </c>
      <c r="I35" s="38"/>
    </row>
    <row r="36" spans="1:9" ht="15.6" customHeight="1">
      <c r="A36" s="66" t="s">
        <v>25</v>
      </c>
      <c r="B36" s="18"/>
      <c r="C36" s="60">
        <v>0.0002</v>
      </c>
      <c r="D36" s="50">
        <f t="shared" si="0"/>
        <v>0</v>
      </c>
      <c r="E36" s="58">
        <v>0.02</v>
      </c>
      <c r="F36" s="51">
        <f t="shared" si="1"/>
        <v>0</v>
      </c>
      <c r="G36" s="51">
        <v>1</v>
      </c>
      <c r="H36" s="47">
        <f t="shared" si="2"/>
        <v>0</v>
      </c>
      <c r="I36" s="38"/>
    </row>
    <row r="37" spans="1:9" ht="15.6" customHeight="1">
      <c r="A37" s="68"/>
      <c r="B37" s="21"/>
      <c r="C37" s="57"/>
      <c r="D37" s="50"/>
      <c r="E37" s="58"/>
      <c r="F37" s="51"/>
      <c r="G37" s="51"/>
      <c r="H37" s="47"/>
      <c r="I37" s="38"/>
    </row>
    <row r="38" spans="1:9" ht="15.6" customHeight="1">
      <c r="A38" s="66" t="s">
        <v>171</v>
      </c>
      <c r="B38" s="18"/>
      <c r="C38" s="57">
        <v>0.0002</v>
      </c>
      <c r="D38" s="50">
        <f t="shared" si="0"/>
        <v>0</v>
      </c>
      <c r="E38" s="58">
        <v>0.0095</v>
      </c>
      <c r="F38" s="51">
        <f t="shared" si="1"/>
        <v>0</v>
      </c>
      <c r="G38" s="51">
        <v>2</v>
      </c>
      <c r="H38" s="47">
        <f t="shared" si="2"/>
        <v>0</v>
      </c>
      <c r="I38" s="38"/>
    </row>
    <row r="39" spans="1:9" ht="15.6" customHeight="1">
      <c r="A39" s="66" t="s">
        <v>184</v>
      </c>
      <c r="B39" s="18"/>
      <c r="C39" s="60">
        <v>0.0002</v>
      </c>
      <c r="D39" s="50">
        <f t="shared" si="0"/>
        <v>0</v>
      </c>
      <c r="E39" s="59">
        <v>0.014</v>
      </c>
      <c r="F39" s="51">
        <f t="shared" si="1"/>
        <v>0</v>
      </c>
      <c r="G39" s="51">
        <v>2</v>
      </c>
      <c r="H39" s="47">
        <f t="shared" si="2"/>
        <v>0</v>
      </c>
      <c r="I39" s="38"/>
    </row>
    <row r="40" spans="1:9" ht="15.6" customHeight="1">
      <c r="A40" s="66" t="s">
        <v>172</v>
      </c>
      <c r="B40" s="18"/>
      <c r="C40" s="60">
        <v>0.0002</v>
      </c>
      <c r="D40" s="50">
        <f t="shared" si="0"/>
        <v>0</v>
      </c>
      <c r="E40" s="59">
        <v>0.0095</v>
      </c>
      <c r="F40" s="51">
        <f t="shared" si="1"/>
        <v>0</v>
      </c>
      <c r="G40" s="51">
        <v>2</v>
      </c>
      <c r="H40" s="47">
        <f t="shared" si="2"/>
        <v>0</v>
      </c>
      <c r="I40" s="38"/>
    </row>
    <row r="41" spans="1:9" ht="15.6" customHeight="1">
      <c r="A41" s="66" t="s">
        <v>183</v>
      </c>
      <c r="B41" s="18"/>
      <c r="C41" s="60">
        <v>0.0002</v>
      </c>
      <c r="D41" s="50">
        <f t="shared" si="0"/>
        <v>0</v>
      </c>
      <c r="E41" s="59">
        <v>0.014</v>
      </c>
      <c r="F41" s="51">
        <f t="shared" si="1"/>
        <v>0</v>
      </c>
      <c r="G41" s="51">
        <v>2</v>
      </c>
      <c r="H41" s="47">
        <f t="shared" si="2"/>
        <v>0</v>
      </c>
      <c r="I41" s="38"/>
    </row>
    <row r="42" spans="1:9" ht="15.6" customHeight="1">
      <c r="A42" s="66" t="s">
        <v>16</v>
      </c>
      <c r="B42" s="18"/>
      <c r="C42" s="57">
        <v>0</v>
      </c>
      <c r="D42" s="50">
        <f t="shared" si="0"/>
        <v>0</v>
      </c>
      <c r="E42" s="59">
        <v>0.0062</v>
      </c>
      <c r="F42" s="51">
        <f t="shared" si="1"/>
        <v>0</v>
      </c>
      <c r="G42" s="51">
        <v>0</v>
      </c>
      <c r="H42" s="47">
        <f t="shared" si="2"/>
        <v>0</v>
      </c>
      <c r="I42" s="40"/>
    </row>
    <row r="43" spans="1:9" ht="15">
      <c r="A43" s="65" t="s">
        <v>39</v>
      </c>
      <c r="B43" s="17"/>
      <c r="C43" s="61">
        <v>0</v>
      </c>
      <c r="D43" s="53">
        <f t="shared" si="0"/>
        <v>0</v>
      </c>
      <c r="E43" s="47">
        <v>0.0062</v>
      </c>
      <c r="F43" s="54">
        <f t="shared" si="1"/>
        <v>0</v>
      </c>
      <c r="G43" s="54">
        <v>0</v>
      </c>
      <c r="H43" s="47">
        <f t="shared" si="2"/>
        <v>0</v>
      </c>
      <c r="I43" s="41"/>
    </row>
    <row r="44" spans="1:27" ht="15.6" customHeight="1">
      <c r="A44" s="67" t="s">
        <v>36</v>
      </c>
      <c r="B44" s="19"/>
      <c r="C44" s="62">
        <v>0.0001</v>
      </c>
      <c r="D44" s="50">
        <f t="shared" si="0"/>
        <v>0</v>
      </c>
      <c r="E44" s="50">
        <v>0.0002</v>
      </c>
      <c r="F44" s="51">
        <f t="shared" si="1"/>
        <v>0</v>
      </c>
      <c r="G44" s="51">
        <v>0</v>
      </c>
      <c r="H44" s="47">
        <f t="shared" si="2"/>
        <v>0</v>
      </c>
      <c r="I44" s="40"/>
      <c r="AA44" s="23"/>
    </row>
    <row r="45" spans="1:27" ht="15.6" customHeight="1">
      <c r="A45" s="66" t="s">
        <v>0</v>
      </c>
      <c r="B45" s="18"/>
      <c r="C45" s="57">
        <v>0.00046</v>
      </c>
      <c r="D45" s="50">
        <f t="shared" si="0"/>
        <v>0</v>
      </c>
      <c r="E45" s="59">
        <v>0.0045</v>
      </c>
      <c r="F45" s="51">
        <f t="shared" si="1"/>
        <v>0</v>
      </c>
      <c r="G45" s="51">
        <v>1</v>
      </c>
      <c r="H45" s="47">
        <f t="shared" si="2"/>
        <v>0</v>
      </c>
      <c r="I45" s="38"/>
      <c r="AA45" s="23"/>
    </row>
    <row r="46" spans="1:9" ht="15.6" customHeight="1">
      <c r="A46" s="66" t="s">
        <v>1</v>
      </c>
      <c r="B46" s="18"/>
      <c r="C46" s="57">
        <v>0.000505</v>
      </c>
      <c r="D46" s="50">
        <f t="shared" si="0"/>
        <v>0</v>
      </c>
      <c r="E46" s="58">
        <v>0.0005</v>
      </c>
      <c r="F46" s="51">
        <f t="shared" si="1"/>
        <v>0</v>
      </c>
      <c r="G46" s="51">
        <v>2</v>
      </c>
      <c r="H46" s="47">
        <f t="shared" si="2"/>
        <v>0</v>
      </c>
      <c r="I46" s="38"/>
    </row>
    <row r="47" spans="1:9" ht="15.6" customHeight="1">
      <c r="A47" s="66" t="s">
        <v>2</v>
      </c>
      <c r="B47" s="18"/>
      <c r="C47" s="57">
        <v>0.0003</v>
      </c>
      <c r="D47" s="50">
        <f t="shared" si="0"/>
        <v>0</v>
      </c>
      <c r="E47" s="59">
        <v>0.003</v>
      </c>
      <c r="F47" s="51">
        <f t="shared" si="1"/>
        <v>0</v>
      </c>
      <c r="G47" s="51">
        <v>2</v>
      </c>
      <c r="H47" s="47">
        <f t="shared" si="2"/>
        <v>0</v>
      </c>
      <c r="I47" s="38"/>
    </row>
    <row r="48" spans="1:9" ht="15.6" customHeight="1">
      <c r="A48" s="66" t="s">
        <v>3</v>
      </c>
      <c r="B48" s="18"/>
      <c r="C48" s="57">
        <v>0.00075</v>
      </c>
      <c r="D48" s="50">
        <f t="shared" si="0"/>
        <v>0</v>
      </c>
      <c r="E48" s="59">
        <v>0.0045</v>
      </c>
      <c r="F48" s="51">
        <f t="shared" si="1"/>
        <v>0</v>
      </c>
      <c r="G48" s="51">
        <v>1</v>
      </c>
      <c r="H48" s="47">
        <f t="shared" si="2"/>
        <v>0</v>
      </c>
      <c r="I48" s="38"/>
    </row>
    <row r="49" spans="1:9" ht="15.6" customHeight="1">
      <c r="A49" s="66" t="s">
        <v>4</v>
      </c>
      <c r="B49" s="18"/>
      <c r="C49" s="57">
        <v>0.00028</v>
      </c>
      <c r="D49" s="50">
        <f t="shared" si="0"/>
        <v>0</v>
      </c>
      <c r="E49" s="58">
        <v>0.0003</v>
      </c>
      <c r="F49" s="51">
        <f t="shared" si="1"/>
        <v>0</v>
      </c>
      <c r="G49" s="51">
        <v>2</v>
      </c>
      <c r="H49" s="51">
        <f t="shared" si="1"/>
        <v>0</v>
      </c>
      <c r="I49" s="39"/>
    </row>
    <row r="50" spans="1:9" ht="15.6" customHeight="1">
      <c r="A50" s="66" t="s">
        <v>5</v>
      </c>
      <c r="B50" s="18"/>
      <c r="C50" s="57">
        <v>0</v>
      </c>
      <c r="D50" s="50">
        <f t="shared" si="0"/>
        <v>0</v>
      </c>
      <c r="E50" s="58"/>
      <c r="F50" s="51">
        <f t="shared" si="1"/>
        <v>0</v>
      </c>
      <c r="G50" s="51">
        <v>0</v>
      </c>
      <c r="H50" s="47">
        <f t="shared" si="2"/>
        <v>0</v>
      </c>
      <c r="I50" s="39"/>
    </row>
    <row r="51" spans="1:9" ht="15.6" customHeight="1">
      <c r="A51" s="159" t="s">
        <v>182</v>
      </c>
      <c r="B51" s="18"/>
      <c r="C51" s="57">
        <v>0.00046</v>
      </c>
      <c r="D51" s="50">
        <f t="shared" si="0"/>
        <v>0</v>
      </c>
      <c r="E51" s="58">
        <v>0.00046</v>
      </c>
      <c r="F51" s="51">
        <f t="shared" si="1"/>
        <v>0</v>
      </c>
      <c r="G51" s="51">
        <v>1</v>
      </c>
      <c r="H51" s="51">
        <f t="shared" si="1"/>
        <v>0</v>
      </c>
      <c r="I51" s="39"/>
    </row>
    <row r="52" spans="1:27" ht="15">
      <c r="A52" s="65" t="s">
        <v>44</v>
      </c>
      <c r="B52" s="17"/>
      <c r="C52" s="61">
        <v>0.00072</v>
      </c>
      <c r="D52" s="53">
        <f t="shared" si="0"/>
        <v>0</v>
      </c>
      <c r="E52" s="47">
        <v>0.0055</v>
      </c>
      <c r="F52" s="54">
        <f t="shared" si="1"/>
        <v>0</v>
      </c>
      <c r="G52" s="54">
        <v>1</v>
      </c>
      <c r="H52" s="47">
        <f t="shared" si="2"/>
        <v>0</v>
      </c>
      <c r="I52" s="3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5">
      <c r="A53" s="65" t="s">
        <v>43</v>
      </c>
      <c r="B53" s="17"/>
      <c r="C53" s="61">
        <v>0.00072</v>
      </c>
      <c r="D53" s="53">
        <f t="shared" si="0"/>
        <v>0</v>
      </c>
      <c r="E53" s="47">
        <v>0.0055</v>
      </c>
      <c r="F53" s="54">
        <f t="shared" si="1"/>
        <v>0</v>
      </c>
      <c r="G53" s="54">
        <v>2</v>
      </c>
      <c r="H53" s="47">
        <f t="shared" si="2"/>
        <v>0</v>
      </c>
      <c r="I53" s="3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">
      <c r="A54" s="65" t="s">
        <v>41</v>
      </c>
      <c r="B54" s="17"/>
      <c r="C54" s="61">
        <v>0.00072</v>
      </c>
      <c r="D54" s="53">
        <f t="shared" si="0"/>
        <v>0</v>
      </c>
      <c r="E54" s="47">
        <v>0.0055</v>
      </c>
      <c r="F54" s="54">
        <f t="shared" si="1"/>
        <v>0</v>
      </c>
      <c r="G54" s="54">
        <v>3</v>
      </c>
      <c r="H54" s="47">
        <f t="shared" si="2"/>
        <v>0</v>
      </c>
      <c r="I54" s="3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5">
      <c r="A55" s="65" t="s">
        <v>42</v>
      </c>
      <c r="B55" s="17"/>
      <c r="C55" s="61">
        <v>0.00086</v>
      </c>
      <c r="D55" s="53">
        <f t="shared" si="0"/>
        <v>0</v>
      </c>
      <c r="E55" s="47">
        <v>0.0083</v>
      </c>
      <c r="F55" s="54">
        <f t="shared" si="1"/>
        <v>0</v>
      </c>
      <c r="G55" s="54">
        <v>6</v>
      </c>
      <c r="H55" s="47">
        <f t="shared" si="2"/>
        <v>0</v>
      </c>
      <c r="I55" s="3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">
      <c r="A56" s="65" t="s">
        <v>47</v>
      </c>
      <c r="B56" s="17"/>
      <c r="C56" s="61">
        <v>0.00063</v>
      </c>
      <c r="D56" s="53">
        <f t="shared" si="0"/>
        <v>0</v>
      </c>
      <c r="E56" s="47">
        <v>0.0078</v>
      </c>
      <c r="F56" s="54">
        <f t="shared" si="1"/>
        <v>0</v>
      </c>
      <c r="G56" s="54">
        <v>3</v>
      </c>
      <c r="H56" s="47">
        <f t="shared" si="2"/>
        <v>0</v>
      </c>
      <c r="I56" s="3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">
      <c r="A57" s="65" t="s">
        <v>45</v>
      </c>
      <c r="B57" s="17"/>
      <c r="C57" s="61">
        <v>0.00074</v>
      </c>
      <c r="D57" s="53">
        <f t="shared" si="0"/>
        <v>0</v>
      </c>
      <c r="E57" s="47">
        <v>0.0031</v>
      </c>
      <c r="F57" s="54">
        <f t="shared" si="1"/>
        <v>0</v>
      </c>
      <c r="G57" s="54">
        <v>2</v>
      </c>
      <c r="H57" s="47">
        <f t="shared" si="2"/>
        <v>0</v>
      </c>
      <c r="I57" s="3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5">
      <c r="A58" s="65" t="s">
        <v>48</v>
      </c>
      <c r="B58" s="17"/>
      <c r="C58" s="61">
        <v>0.015</v>
      </c>
      <c r="D58" s="53">
        <f t="shared" si="0"/>
        <v>0</v>
      </c>
      <c r="E58" s="47">
        <v>0.0035</v>
      </c>
      <c r="F58" s="54">
        <f t="shared" si="1"/>
        <v>0</v>
      </c>
      <c r="G58" s="54">
        <v>2</v>
      </c>
      <c r="H58" s="47">
        <f t="shared" si="2"/>
        <v>0</v>
      </c>
      <c r="I58" s="3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5">
      <c r="A59" s="65" t="s">
        <v>46</v>
      </c>
      <c r="B59" s="17"/>
      <c r="C59" s="61">
        <v>0.00069</v>
      </c>
      <c r="D59" s="53">
        <f t="shared" si="0"/>
        <v>0</v>
      </c>
      <c r="E59" s="47">
        <v>0.0033</v>
      </c>
      <c r="F59" s="54">
        <f t="shared" si="1"/>
        <v>0</v>
      </c>
      <c r="G59" s="54">
        <v>1</v>
      </c>
      <c r="H59" s="47">
        <f t="shared" si="2"/>
        <v>0</v>
      </c>
      <c r="I59" s="3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5.6" customHeight="1">
      <c r="A60" s="66"/>
      <c r="B60" s="18"/>
      <c r="C60" s="57"/>
      <c r="D60" s="50"/>
      <c r="E60" s="58"/>
      <c r="F60" s="51"/>
      <c r="G60" s="51"/>
      <c r="H60" s="47"/>
      <c r="I60" s="3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9" ht="15.6" customHeight="1">
      <c r="A61" s="66" t="s">
        <v>32</v>
      </c>
      <c r="B61" s="18"/>
      <c r="C61" s="57">
        <v>0.00046</v>
      </c>
      <c r="D61" s="50">
        <f aca="true" t="shared" si="3" ref="D61:D64">B61*C61</f>
        <v>0</v>
      </c>
      <c r="E61" s="58">
        <v>0.00046</v>
      </c>
      <c r="F61" s="51">
        <f aca="true" t="shared" si="4" ref="F61:F64">B61*E61</f>
        <v>0</v>
      </c>
      <c r="G61" s="51">
        <v>1</v>
      </c>
      <c r="H61" s="47">
        <f>B61*G61</f>
        <v>0</v>
      </c>
      <c r="I61" s="38"/>
    </row>
    <row r="62" spans="1:9" ht="15.6" customHeight="1">
      <c r="A62" s="66" t="s">
        <v>33</v>
      </c>
      <c r="B62" s="18"/>
      <c r="C62" s="57">
        <v>0.00092</v>
      </c>
      <c r="D62" s="50">
        <f t="shared" si="3"/>
        <v>0</v>
      </c>
      <c r="E62" s="58">
        <v>0.00092</v>
      </c>
      <c r="F62" s="51">
        <f t="shared" si="4"/>
        <v>0</v>
      </c>
      <c r="G62" s="51">
        <v>2</v>
      </c>
      <c r="H62" s="47">
        <f>B62*G62</f>
        <v>0</v>
      </c>
      <c r="I62" s="38"/>
    </row>
    <row r="63" spans="1:9" ht="15.6" customHeight="1">
      <c r="A63" s="66" t="s">
        <v>31</v>
      </c>
      <c r="B63" s="18"/>
      <c r="C63" s="57">
        <v>0.004</v>
      </c>
      <c r="D63" s="50">
        <f t="shared" si="3"/>
        <v>0</v>
      </c>
      <c r="E63" s="58">
        <v>0.004</v>
      </c>
      <c r="F63" s="51">
        <f t="shared" si="4"/>
        <v>0</v>
      </c>
      <c r="G63" s="51">
        <v>1</v>
      </c>
      <c r="H63" s="47">
        <f>B63*G63</f>
        <v>0</v>
      </c>
      <c r="I63" s="38"/>
    </row>
    <row r="64" spans="1:9" ht="15.6" customHeight="1">
      <c r="A64" s="66" t="s">
        <v>56</v>
      </c>
      <c r="B64" s="18"/>
      <c r="C64" s="57">
        <v>0</v>
      </c>
      <c r="D64" s="50">
        <f t="shared" si="3"/>
        <v>0</v>
      </c>
      <c r="E64" s="58">
        <v>0.002</v>
      </c>
      <c r="F64" s="51">
        <f t="shared" si="4"/>
        <v>0</v>
      </c>
      <c r="G64" s="51">
        <v>0</v>
      </c>
      <c r="H64" s="47">
        <f>B64*G64</f>
        <v>0</v>
      </c>
      <c r="I64" s="38"/>
    </row>
    <row r="65" spans="1:9" ht="15.6" customHeight="1">
      <c r="A65" s="66"/>
      <c r="B65" s="18"/>
      <c r="C65" s="57"/>
      <c r="D65" s="58"/>
      <c r="E65" s="58"/>
      <c r="F65" s="58"/>
      <c r="G65" s="58"/>
      <c r="H65" s="58"/>
      <c r="I65" s="38"/>
    </row>
    <row r="66" spans="1:9" ht="15.6" customHeight="1">
      <c r="A66" s="66" t="s">
        <v>57</v>
      </c>
      <c r="B66" s="18">
        <f>SUM(B6:B14,B21:B27,B28:B36,B39:B63)</f>
        <v>0</v>
      </c>
      <c r="C66" s="175" t="s">
        <v>58</v>
      </c>
      <c r="D66" s="58">
        <f>SUM(D6:D65)</f>
        <v>0</v>
      </c>
      <c r="E66" s="176" t="s">
        <v>59</v>
      </c>
      <c r="F66" s="58">
        <f>SUM(F5:F65)</f>
        <v>0.04</v>
      </c>
      <c r="G66" s="176" t="s">
        <v>88</v>
      </c>
      <c r="H66" s="58">
        <f>SUM(H6:H64)</f>
        <v>0</v>
      </c>
      <c r="I66" s="40"/>
    </row>
    <row r="67" spans="1:9" ht="16.2" thickBot="1">
      <c r="A67" s="42"/>
      <c r="B67" s="22"/>
      <c r="C67" s="22"/>
      <c r="D67" s="22"/>
      <c r="E67" s="22"/>
      <c r="F67" s="22"/>
      <c r="G67" s="22"/>
      <c r="H67" s="22"/>
      <c r="I67" s="42"/>
    </row>
    <row r="68" spans="3:8" ht="16.8" thickBot="1" thickTop="1">
      <c r="C68" s="23"/>
      <c r="D68" s="23"/>
      <c r="E68" s="23"/>
      <c r="F68" s="71" t="str">
        <f>IF(F66&lt;0.4,"Load ok","above 80% load")</f>
        <v>Load ok</v>
      </c>
      <c r="G68" s="23"/>
      <c r="H68" s="23"/>
    </row>
    <row r="69" spans="1:8" ht="16.8" thickBot="1" thickTop="1">
      <c r="A69" s="26" t="s">
        <v>68</v>
      </c>
      <c r="C69" s="23" t="s">
        <v>89</v>
      </c>
      <c r="D69" s="23"/>
      <c r="E69" s="23"/>
      <c r="F69" s="23"/>
      <c r="G69" s="23"/>
      <c r="H69" s="23"/>
    </row>
    <row r="70" spans="1:3" ht="16.5" thickBot="1">
      <c r="A70" s="24" t="s">
        <v>76</v>
      </c>
      <c r="C70" s="26">
        <f>VLOOKUP(A70,Sheet2!A:B,2,FALSE)</f>
        <v>12.1</v>
      </c>
    </row>
    <row r="71" ht="16.5" thickBot="1">
      <c r="A71" s="26" t="s">
        <v>175</v>
      </c>
    </row>
    <row r="72" ht="16.5" thickBot="1">
      <c r="A72" s="24">
        <v>1000</v>
      </c>
    </row>
    <row r="73" ht="16.5" thickBot="1">
      <c r="A73" s="26" t="s">
        <v>90</v>
      </c>
    </row>
    <row r="74" spans="1:3" ht="17.25" thickBot="1" thickTop="1">
      <c r="A74" s="69">
        <f>PRODUCT((A72*((C70/1000)*2))*F66)</f>
        <v>0.968</v>
      </c>
      <c r="C74" s="71" t="str">
        <f>IF(A74&lt;8,"Loop ok","Loop not ok")</f>
        <v>Loop ok</v>
      </c>
    </row>
    <row r="75" ht="16.5" thickBot="1">
      <c r="A75" s="70" t="s">
        <v>174</v>
      </c>
    </row>
    <row r="76" ht="16.2" thickBot="1">
      <c r="A76" s="73">
        <f>MIN(2000,(PRODUCT((8/(F66)/((C70/1000)*2)))))</f>
        <v>2000</v>
      </c>
    </row>
  </sheetData>
  <sheetProtection algorithmName="SHA-512" hashValue="HsU/Y+U7S6IxyQ/KSubtpvTo+tVjGmcKpRRAN2EgGwFOf7AbVmC0BxAwfAzGNoPC1/MOJYMBA/e3UvL2KY10Dw==" saltValue="M4S4pDEmOObc/b55xUitrA==" spinCount="100000" sheet="1" objects="1" scenarios="1" selectLockedCells="1"/>
  <conditionalFormatting sqref="C74">
    <cfRule type="cellIs" priority="11" dxfId="4" operator="lessThan" stopIfTrue="1">
      <formula>11</formula>
    </cfRule>
  </conditionalFormatting>
  <conditionalFormatting sqref="A74">
    <cfRule type="cellIs" priority="9" dxfId="1" operator="lessThan" stopIfTrue="1">
      <formula>8</formula>
    </cfRule>
    <cfRule type="cellIs" priority="10" dxfId="0" operator="greaterThan" stopIfTrue="1">
      <formula>8</formula>
    </cfRule>
  </conditionalFormatting>
  <conditionalFormatting sqref="F66">
    <cfRule type="cellIs" priority="1" dxfId="1" operator="lessThan">
      <formula>0.4</formula>
    </cfRule>
    <cfRule type="cellIs" priority="2" dxfId="0" operator="greaterThan">
      <formula>0.4</formula>
    </cfRule>
    <cfRule type="cellIs" priority="8" dxfId="15" operator="greaterThan">
      <formula>0.4</formula>
    </cfRule>
  </conditionalFormatting>
  <dataValidations count="1">
    <dataValidation type="list" allowBlank="1" showInputMessage="1" showErrorMessage="1" sqref="A70">
      <formula1>Sheet2!$A$6:$A$22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workbookViewId="0" topLeftCell="A55">
      <selection activeCell="I66" sqref="I66"/>
    </sheetView>
  </sheetViews>
  <sheetFormatPr defaultColWidth="9.140625" defaultRowHeight="15"/>
  <cols>
    <col min="1" max="1" width="65.57421875" style="26" customWidth="1"/>
    <col min="2" max="2" width="5.28125" style="23" customWidth="1"/>
    <col min="3" max="3" width="12.421875" style="26" customWidth="1"/>
    <col min="4" max="4" width="18.421875" style="26" customWidth="1"/>
    <col min="5" max="6" width="19.7109375" style="26" customWidth="1"/>
    <col min="7" max="8" width="13.57421875" style="26" customWidth="1"/>
    <col min="9" max="9" width="16.7109375" style="26" customWidth="1"/>
    <col min="10" max="16384" width="8.8515625" style="27" customWidth="1"/>
  </cols>
  <sheetData>
    <row r="1" spans="1:2" ht="30" customHeight="1" thickBot="1">
      <c r="A1" s="25" t="s">
        <v>55</v>
      </c>
      <c r="B1" s="74" t="s">
        <v>159</v>
      </c>
    </row>
    <row r="2" spans="1:9" ht="15.75" customHeight="1">
      <c r="A2" s="157" t="s">
        <v>187</v>
      </c>
      <c r="B2" s="13"/>
      <c r="C2" s="28"/>
      <c r="D2" s="28"/>
      <c r="E2" s="28"/>
      <c r="F2" s="28"/>
      <c r="G2" s="28" t="s">
        <v>86</v>
      </c>
      <c r="H2" s="28"/>
      <c r="I2" s="29"/>
    </row>
    <row r="3" spans="1:9" ht="15.6" customHeight="1">
      <c r="A3" s="158" t="s">
        <v>6</v>
      </c>
      <c r="B3" s="14" t="s">
        <v>49</v>
      </c>
      <c r="C3" s="30" t="s">
        <v>51</v>
      </c>
      <c r="D3" s="30" t="s">
        <v>50</v>
      </c>
      <c r="E3" s="30" t="s">
        <v>52</v>
      </c>
      <c r="F3" s="30" t="s">
        <v>53</v>
      </c>
      <c r="G3" s="30" t="s">
        <v>87</v>
      </c>
      <c r="H3" s="30" t="s">
        <v>88</v>
      </c>
      <c r="I3" s="31" t="s">
        <v>54</v>
      </c>
    </row>
    <row r="4" spans="1:9" ht="15.6" customHeight="1" thickBot="1">
      <c r="A4" s="171"/>
      <c r="B4" s="14"/>
      <c r="C4" s="30"/>
      <c r="D4" s="30"/>
      <c r="E4" s="30"/>
      <c r="F4" s="32"/>
      <c r="G4" s="32"/>
      <c r="H4" s="32"/>
      <c r="I4" s="31"/>
    </row>
    <row r="5" spans="1:9" ht="15.6" customHeight="1">
      <c r="A5" s="63" t="s">
        <v>160</v>
      </c>
      <c r="B5" s="15">
        <v>8</v>
      </c>
      <c r="C5" s="43">
        <v>0</v>
      </c>
      <c r="D5" s="44">
        <f>B5*C5</f>
        <v>0</v>
      </c>
      <c r="E5" s="45">
        <v>0.005</v>
      </c>
      <c r="F5" s="46">
        <f>B5*E5</f>
        <v>0.04</v>
      </c>
      <c r="G5" s="47">
        <v>0</v>
      </c>
      <c r="H5" s="48"/>
      <c r="I5" s="34"/>
    </row>
    <row r="6" spans="1:9" ht="15.6" customHeight="1">
      <c r="A6" s="64" t="s">
        <v>7</v>
      </c>
      <c r="B6" s="16"/>
      <c r="C6" s="49">
        <v>0.0002</v>
      </c>
      <c r="D6" s="50">
        <f>B6*C6</f>
        <v>0</v>
      </c>
      <c r="E6" s="50">
        <v>0.0002</v>
      </c>
      <c r="F6" s="51">
        <f>B6*E6</f>
        <v>0</v>
      </c>
      <c r="G6" s="47">
        <v>1</v>
      </c>
      <c r="H6" s="47">
        <f>B6*G6</f>
        <v>0</v>
      </c>
      <c r="I6" s="35"/>
    </row>
    <row r="7" spans="1:9" ht="15.6" customHeight="1">
      <c r="A7" s="64" t="s">
        <v>8</v>
      </c>
      <c r="B7" s="16"/>
      <c r="C7" s="49">
        <v>0.0002</v>
      </c>
      <c r="D7" s="50">
        <f aca="true" t="shared" si="0" ref="D7:D59">B7*C7</f>
        <v>0</v>
      </c>
      <c r="E7" s="50">
        <v>0.0002</v>
      </c>
      <c r="F7" s="51">
        <f aca="true" t="shared" si="1" ref="F7:H59">B7*E7</f>
        <v>0</v>
      </c>
      <c r="G7" s="47">
        <v>1</v>
      </c>
      <c r="H7" s="47">
        <f aca="true" t="shared" si="2" ref="H7:H59">B7*G7</f>
        <v>0</v>
      </c>
      <c r="I7" s="35"/>
    </row>
    <row r="8" spans="1:9" ht="15.6" customHeight="1">
      <c r="A8" s="64" t="s">
        <v>9</v>
      </c>
      <c r="B8" s="16"/>
      <c r="C8" s="49">
        <v>0.0002</v>
      </c>
      <c r="D8" s="50">
        <f t="shared" si="0"/>
        <v>0</v>
      </c>
      <c r="E8" s="50">
        <v>0.0002</v>
      </c>
      <c r="F8" s="51">
        <f t="shared" si="1"/>
        <v>0</v>
      </c>
      <c r="G8" s="47">
        <v>1</v>
      </c>
      <c r="H8" s="47">
        <f t="shared" si="2"/>
        <v>0</v>
      </c>
      <c r="I8" s="35"/>
    </row>
    <row r="9" spans="1:9" ht="15.6" customHeight="1">
      <c r="A9" s="64" t="s">
        <v>10</v>
      </c>
      <c r="B9" s="16"/>
      <c r="C9" s="49">
        <v>0.0002</v>
      </c>
      <c r="D9" s="50">
        <f t="shared" si="0"/>
        <v>0</v>
      </c>
      <c r="E9" s="50">
        <v>0.0002</v>
      </c>
      <c r="F9" s="51">
        <f t="shared" si="1"/>
        <v>0</v>
      </c>
      <c r="G9" s="47">
        <v>1</v>
      </c>
      <c r="H9" s="47">
        <f t="shared" si="2"/>
        <v>0</v>
      </c>
      <c r="I9" s="35"/>
    </row>
    <row r="10" spans="1:9" ht="15.6" customHeight="1">
      <c r="A10" s="64" t="s">
        <v>11</v>
      </c>
      <c r="B10" s="16"/>
      <c r="C10" s="49">
        <v>0.0002</v>
      </c>
      <c r="D10" s="50">
        <f t="shared" si="0"/>
        <v>0</v>
      </c>
      <c r="E10" s="50">
        <v>0.0002</v>
      </c>
      <c r="F10" s="51">
        <f t="shared" si="1"/>
        <v>0</v>
      </c>
      <c r="G10" s="47">
        <v>2</v>
      </c>
      <c r="H10" s="47">
        <f t="shared" si="2"/>
        <v>0</v>
      </c>
      <c r="I10" s="35"/>
    </row>
    <row r="11" spans="1:9" ht="15.6" customHeight="1">
      <c r="A11" s="174" t="s">
        <v>17</v>
      </c>
      <c r="B11" s="16"/>
      <c r="C11" s="49">
        <v>0.0002</v>
      </c>
      <c r="D11" s="50">
        <f t="shared" si="0"/>
        <v>0</v>
      </c>
      <c r="E11" s="50">
        <v>0.0002</v>
      </c>
      <c r="F11" s="51">
        <f t="shared" si="1"/>
        <v>0</v>
      </c>
      <c r="G11" s="47">
        <v>2</v>
      </c>
      <c r="H11" s="47">
        <f t="shared" si="2"/>
        <v>0</v>
      </c>
      <c r="I11" s="35"/>
    </row>
    <row r="12" spans="1:9" ht="15.6" customHeight="1">
      <c r="A12" s="174" t="s">
        <v>12</v>
      </c>
      <c r="B12" s="16"/>
      <c r="C12" s="49">
        <v>0.0002</v>
      </c>
      <c r="D12" s="50">
        <f t="shared" si="0"/>
        <v>0</v>
      </c>
      <c r="E12" s="50">
        <v>0.0002</v>
      </c>
      <c r="F12" s="51">
        <f t="shared" si="1"/>
        <v>0</v>
      </c>
      <c r="G12" s="47">
        <v>2</v>
      </c>
      <c r="H12" s="47">
        <f t="shared" si="2"/>
        <v>0</v>
      </c>
      <c r="I12" s="35"/>
    </row>
    <row r="13" spans="1:9" ht="15.6" customHeight="1">
      <c r="A13" s="64" t="s">
        <v>13</v>
      </c>
      <c r="B13" s="16"/>
      <c r="C13" s="49">
        <v>0.0002</v>
      </c>
      <c r="D13" s="50">
        <f t="shared" si="0"/>
        <v>0</v>
      </c>
      <c r="E13" s="51">
        <v>0.0035</v>
      </c>
      <c r="F13" s="51">
        <f t="shared" si="1"/>
        <v>0</v>
      </c>
      <c r="G13" s="47">
        <v>2</v>
      </c>
      <c r="H13" s="47">
        <f t="shared" si="2"/>
        <v>0</v>
      </c>
      <c r="I13" s="35"/>
    </row>
    <row r="14" spans="1:9" ht="15">
      <c r="A14" s="65" t="s">
        <v>40</v>
      </c>
      <c r="B14" s="17"/>
      <c r="C14" s="52">
        <v>0.0002</v>
      </c>
      <c r="D14" s="53">
        <f t="shared" si="0"/>
        <v>0</v>
      </c>
      <c r="E14" s="47">
        <v>0.0035</v>
      </c>
      <c r="F14" s="54">
        <f t="shared" si="1"/>
        <v>0</v>
      </c>
      <c r="G14" s="54">
        <v>2</v>
      </c>
      <c r="H14" s="47">
        <f t="shared" si="2"/>
        <v>0</v>
      </c>
      <c r="I14" s="33"/>
    </row>
    <row r="15" spans="1:9" ht="15.6" customHeight="1">
      <c r="A15" s="66"/>
      <c r="B15" s="18"/>
      <c r="C15" s="55"/>
      <c r="D15" s="50"/>
      <c r="E15" s="56"/>
      <c r="F15" s="51"/>
      <c r="G15" s="51"/>
      <c r="H15" s="47"/>
      <c r="I15" s="37"/>
    </row>
    <row r="16" spans="1:9" ht="15.6" customHeight="1">
      <c r="A16" s="67" t="s">
        <v>27</v>
      </c>
      <c r="B16" s="19"/>
      <c r="C16" s="49">
        <v>0</v>
      </c>
      <c r="D16" s="50">
        <f t="shared" si="0"/>
        <v>0</v>
      </c>
      <c r="E16" s="50">
        <v>0</v>
      </c>
      <c r="F16" s="51">
        <f t="shared" si="1"/>
        <v>0</v>
      </c>
      <c r="G16" s="51">
        <v>0</v>
      </c>
      <c r="H16" s="47">
        <f t="shared" si="2"/>
        <v>0</v>
      </c>
      <c r="I16" s="37"/>
    </row>
    <row r="17" spans="1:9" ht="15.6" customHeight="1">
      <c r="A17" s="67" t="s">
        <v>28</v>
      </c>
      <c r="B17" s="19"/>
      <c r="C17" s="57">
        <v>0</v>
      </c>
      <c r="D17" s="50">
        <f t="shared" si="0"/>
        <v>0</v>
      </c>
      <c r="E17" s="58">
        <v>0</v>
      </c>
      <c r="F17" s="51">
        <f t="shared" si="1"/>
        <v>0</v>
      </c>
      <c r="G17" s="51">
        <v>0</v>
      </c>
      <c r="H17" s="47">
        <f t="shared" si="2"/>
        <v>0</v>
      </c>
      <c r="I17" s="38"/>
    </row>
    <row r="18" spans="1:9" ht="15.6" customHeight="1">
      <c r="A18" s="173" t="s">
        <v>18</v>
      </c>
      <c r="B18" s="19"/>
      <c r="C18" s="60">
        <v>6E-05</v>
      </c>
      <c r="D18" s="50">
        <f t="shared" si="0"/>
        <v>0</v>
      </c>
      <c r="E18" s="59">
        <v>6E-05</v>
      </c>
      <c r="F18" s="51">
        <f t="shared" si="1"/>
        <v>0</v>
      </c>
      <c r="G18" s="51">
        <v>0</v>
      </c>
      <c r="H18" s="47">
        <f t="shared" si="2"/>
        <v>0</v>
      </c>
      <c r="I18" s="36"/>
    </row>
    <row r="19" spans="1:9" ht="15.6" customHeight="1">
      <c r="A19" s="173" t="s">
        <v>19</v>
      </c>
      <c r="B19" s="19"/>
      <c r="C19" s="60">
        <v>6E-05</v>
      </c>
      <c r="D19" s="50">
        <f t="shared" si="0"/>
        <v>0</v>
      </c>
      <c r="E19" s="59">
        <v>6E-05</v>
      </c>
      <c r="F19" s="51">
        <f t="shared" si="1"/>
        <v>0</v>
      </c>
      <c r="G19" s="51">
        <v>0</v>
      </c>
      <c r="H19" s="47">
        <f t="shared" si="2"/>
        <v>0</v>
      </c>
      <c r="I19" s="36"/>
    </row>
    <row r="20" spans="1:27" ht="15.6" customHeight="1">
      <c r="A20" s="173" t="s">
        <v>20</v>
      </c>
      <c r="B20" s="19"/>
      <c r="C20" s="60">
        <v>6E-05</v>
      </c>
      <c r="D20" s="50">
        <f t="shared" si="0"/>
        <v>0</v>
      </c>
      <c r="E20" s="59">
        <v>6E-05</v>
      </c>
      <c r="F20" s="51">
        <f t="shared" si="1"/>
        <v>0</v>
      </c>
      <c r="G20" s="51">
        <v>0</v>
      </c>
      <c r="H20" s="47">
        <f t="shared" si="2"/>
        <v>0</v>
      </c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5.6" customHeight="1">
      <c r="A21" s="66" t="s">
        <v>14</v>
      </c>
      <c r="B21" s="18"/>
      <c r="C21" s="49">
        <v>0.0002</v>
      </c>
      <c r="D21" s="50">
        <f t="shared" si="0"/>
        <v>0</v>
      </c>
      <c r="E21" s="50">
        <v>0.0002</v>
      </c>
      <c r="F21" s="51">
        <f t="shared" si="1"/>
        <v>0</v>
      </c>
      <c r="G21" s="51">
        <v>1</v>
      </c>
      <c r="H21" s="47">
        <f t="shared" si="2"/>
        <v>0</v>
      </c>
      <c r="I21" s="3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9" ht="15.6" customHeight="1">
      <c r="A22" s="66" t="s">
        <v>15</v>
      </c>
      <c r="B22" s="18"/>
      <c r="C22" s="49">
        <v>0.0002</v>
      </c>
      <c r="D22" s="50">
        <f t="shared" si="0"/>
        <v>0</v>
      </c>
      <c r="E22" s="50">
        <v>0.0002</v>
      </c>
      <c r="F22" s="51">
        <f t="shared" si="1"/>
        <v>0</v>
      </c>
      <c r="G22" s="51">
        <v>1</v>
      </c>
      <c r="H22" s="47">
        <f t="shared" si="2"/>
        <v>0</v>
      </c>
      <c r="I22" s="38"/>
    </row>
    <row r="23" spans="1:9" ht="15">
      <c r="A23" s="65" t="s">
        <v>37</v>
      </c>
      <c r="B23" s="17"/>
      <c r="C23" s="52">
        <v>0.0002</v>
      </c>
      <c r="D23" s="53">
        <f t="shared" si="0"/>
        <v>0</v>
      </c>
      <c r="E23" s="53">
        <v>0.0002</v>
      </c>
      <c r="F23" s="54">
        <f t="shared" si="1"/>
        <v>0</v>
      </c>
      <c r="G23" s="54">
        <v>1</v>
      </c>
      <c r="H23" s="47">
        <f t="shared" si="2"/>
        <v>0</v>
      </c>
      <c r="I23" s="33"/>
    </row>
    <row r="24" spans="1:9" ht="15">
      <c r="A24" s="65" t="s">
        <v>38</v>
      </c>
      <c r="B24" s="17"/>
      <c r="C24" s="52">
        <v>0.0002</v>
      </c>
      <c r="D24" s="53">
        <f t="shared" si="0"/>
        <v>0</v>
      </c>
      <c r="E24" s="53">
        <v>0.0002</v>
      </c>
      <c r="F24" s="54">
        <f t="shared" si="1"/>
        <v>0</v>
      </c>
      <c r="G24" s="54">
        <v>1</v>
      </c>
      <c r="H24" s="47">
        <f t="shared" si="2"/>
        <v>0</v>
      </c>
      <c r="I24" s="33"/>
    </row>
    <row r="25" spans="1:9" ht="15.6" customHeight="1">
      <c r="A25" s="173" t="s">
        <v>29</v>
      </c>
      <c r="B25" s="19"/>
      <c r="C25" s="49">
        <v>0.0002</v>
      </c>
      <c r="D25" s="50">
        <f t="shared" si="0"/>
        <v>0</v>
      </c>
      <c r="E25" s="50">
        <v>0.0002</v>
      </c>
      <c r="F25" s="51">
        <f t="shared" si="1"/>
        <v>0</v>
      </c>
      <c r="G25" s="51">
        <v>1</v>
      </c>
      <c r="H25" s="47">
        <f t="shared" si="2"/>
        <v>0</v>
      </c>
      <c r="I25" s="36"/>
    </row>
    <row r="26" spans="1:9" ht="15.6" customHeight="1">
      <c r="A26" s="173" t="s">
        <v>30</v>
      </c>
      <c r="B26" s="19"/>
      <c r="C26" s="49">
        <v>0.0002</v>
      </c>
      <c r="D26" s="50">
        <f t="shared" si="0"/>
        <v>0</v>
      </c>
      <c r="E26" s="50">
        <v>0.0002</v>
      </c>
      <c r="F26" s="51">
        <f t="shared" si="1"/>
        <v>0</v>
      </c>
      <c r="G26" s="51">
        <v>1</v>
      </c>
      <c r="H26" s="47">
        <f t="shared" si="2"/>
        <v>0</v>
      </c>
      <c r="I26" s="36"/>
    </row>
    <row r="27" spans="1:9" ht="15.6" customHeight="1">
      <c r="A27" s="66"/>
      <c r="B27" s="18"/>
      <c r="C27" s="57"/>
      <c r="D27" s="50"/>
      <c r="E27" s="58"/>
      <c r="F27" s="51"/>
      <c r="G27" s="51"/>
      <c r="H27" s="47"/>
      <c r="I27" s="38"/>
    </row>
    <row r="28" spans="1:27" ht="15.6" customHeight="1">
      <c r="A28" s="67" t="s">
        <v>22</v>
      </c>
      <c r="B28" s="19"/>
      <c r="C28" s="60">
        <v>0.0002</v>
      </c>
      <c r="D28" s="50">
        <f t="shared" si="0"/>
        <v>0</v>
      </c>
      <c r="E28" s="59">
        <v>0.0068</v>
      </c>
      <c r="F28" s="51">
        <f t="shared" si="1"/>
        <v>0</v>
      </c>
      <c r="G28" s="51">
        <v>1</v>
      </c>
      <c r="H28" s="47">
        <f t="shared" si="2"/>
        <v>0</v>
      </c>
      <c r="I28" s="3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6" customHeight="1">
      <c r="A29" s="67" t="s">
        <v>21</v>
      </c>
      <c r="B29" s="19"/>
      <c r="C29" s="60">
        <v>0.0002</v>
      </c>
      <c r="D29" s="50">
        <f t="shared" si="0"/>
        <v>0</v>
      </c>
      <c r="E29" s="59">
        <v>0.0068</v>
      </c>
      <c r="F29" s="51">
        <f t="shared" si="1"/>
        <v>0</v>
      </c>
      <c r="G29" s="51">
        <v>1</v>
      </c>
      <c r="H29" s="47">
        <f t="shared" si="2"/>
        <v>0</v>
      </c>
      <c r="I29" s="3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.6" customHeight="1">
      <c r="A30" s="66"/>
      <c r="B30" s="18"/>
      <c r="C30" s="57"/>
      <c r="D30" s="50"/>
      <c r="E30" s="58"/>
      <c r="F30" s="51"/>
      <c r="G30" s="51"/>
      <c r="H30" s="47"/>
      <c r="I30" s="3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.6" customHeight="1">
      <c r="A31" s="65" t="s">
        <v>26</v>
      </c>
      <c r="B31" s="20"/>
      <c r="C31" s="60">
        <v>0.0002</v>
      </c>
      <c r="D31" s="50">
        <f t="shared" si="0"/>
        <v>0</v>
      </c>
      <c r="E31" s="58">
        <v>0.02</v>
      </c>
      <c r="F31" s="51">
        <f t="shared" si="1"/>
        <v>0</v>
      </c>
      <c r="G31" s="51">
        <v>1</v>
      </c>
      <c r="H31" s="47">
        <f t="shared" si="2"/>
        <v>0</v>
      </c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9" ht="15.6" customHeight="1">
      <c r="A32" s="65" t="s">
        <v>34</v>
      </c>
      <c r="B32" s="20"/>
      <c r="C32" s="60">
        <v>0.0002</v>
      </c>
      <c r="D32" s="50">
        <f t="shared" si="0"/>
        <v>0</v>
      </c>
      <c r="E32" s="58">
        <v>0.02</v>
      </c>
      <c r="F32" s="51">
        <f t="shared" si="1"/>
        <v>0</v>
      </c>
      <c r="G32" s="51">
        <v>1</v>
      </c>
      <c r="H32" s="47">
        <f t="shared" si="2"/>
        <v>0</v>
      </c>
      <c r="I32" s="36"/>
    </row>
    <row r="33" spans="1:9" ht="15.6" customHeight="1">
      <c r="A33" s="65" t="s">
        <v>35</v>
      </c>
      <c r="B33" s="20"/>
      <c r="C33" s="60">
        <v>0.0002</v>
      </c>
      <c r="D33" s="50">
        <f t="shared" si="0"/>
        <v>0</v>
      </c>
      <c r="E33" s="58">
        <v>0.02</v>
      </c>
      <c r="F33" s="51">
        <f t="shared" si="1"/>
        <v>0</v>
      </c>
      <c r="G33" s="51">
        <v>1</v>
      </c>
      <c r="H33" s="47">
        <f t="shared" si="2"/>
        <v>0</v>
      </c>
      <c r="I33" s="36"/>
    </row>
    <row r="34" spans="1:9" ht="15.6" customHeight="1">
      <c r="A34" s="66" t="s">
        <v>23</v>
      </c>
      <c r="B34" s="18"/>
      <c r="C34" s="60">
        <v>0.0002</v>
      </c>
      <c r="D34" s="50">
        <f t="shared" si="0"/>
        <v>0</v>
      </c>
      <c r="E34" s="58">
        <v>0.02</v>
      </c>
      <c r="F34" s="51">
        <f t="shared" si="1"/>
        <v>0</v>
      </c>
      <c r="G34" s="51">
        <v>1</v>
      </c>
      <c r="H34" s="47">
        <f t="shared" si="2"/>
        <v>0</v>
      </c>
      <c r="I34" s="38"/>
    </row>
    <row r="35" spans="1:9" ht="15.6" customHeight="1">
      <c r="A35" s="66" t="s">
        <v>24</v>
      </c>
      <c r="B35" s="18"/>
      <c r="C35" s="60">
        <v>0.0002</v>
      </c>
      <c r="D35" s="50">
        <f t="shared" si="0"/>
        <v>0</v>
      </c>
      <c r="E35" s="58">
        <v>0.02</v>
      </c>
      <c r="F35" s="51">
        <f t="shared" si="1"/>
        <v>0</v>
      </c>
      <c r="G35" s="51">
        <v>1</v>
      </c>
      <c r="H35" s="47">
        <f t="shared" si="2"/>
        <v>0</v>
      </c>
      <c r="I35" s="38"/>
    </row>
    <row r="36" spans="1:9" ht="15.6" customHeight="1">
      <c r="A36" s="66" t="s">
        <v>25</v>
      </c>
      <c r="B36" s="18"/>
      <c r="C36" s="60">
        <v>0.0002</v>
      </c>
      <c r="D36" s="50">
        <f t="shared" si="0"/>
        <v>0</v>
      </c>
      <c r="E36" s="58">
        <v>0.02</v>
      </c>
      <c r="F36" s="51">
        <f t="shared" si="1"/>
        <v>0</v>
      </c>
      <c r="G36" s="51">
        <v>1</v>
      </c>
      <c r="H36" s="47">
        <f t="shared" si="2"/>
        <v>0</v>
      </c>
      <c r="I36" s="38"/>
    </row>
    <row r="37" spans="1:9" ht="15.6" customHeight="1">
      <c r="A37" s="68"/>
      <c r="B37" s="21"/>
      <c r="C37" s="57"/>
      <c r="D37" s="50"/>
      <c r="E37" s="58"/>
      <c r="F37" s="51"/>
      <c r="G37" s="51"/>
      <c r="H37" s="47"/>
      <c r="I37" s="38"/>
    </row>
    <row r="38" spans="1:9" ht="15.6" customHeight="1">
      <c r="A38" s="66" t="s">
        <v>171</v>
      </c>
      <c r="B38" s="18"/>
      <c r="C38" s="60">
        <v>0.0002</v>
      </c>
      <c r="D38" s="50">
        <f aca="true" t="shared" si="3" ref="D38">B38*C38</f>
        <v>0</v>
      </c>
      <c r="E38" s="59">
        <v>0.0095</v>
      </c>
      <c r="F38" s="51">
        <f aca="true" t="shared" si="4" ref="F38">B38*E38</f>
        <v>0</v>
      </c>
      <c r="G38" s="51">
        <v>2</v>
      </c>
      <c r="H38" s="47">
        <f aca="true" t="shared" si="5" ref="H38">B38*G38</f>
        <v>0</v>
      </c>
      <c r="I38" s="38"/>
    </row>
    <row r="39" spans="1:9" ht="15.6" customHeight="1">
      <c r="A39" s="66" t="s">
        <v>184</v>
      </c>
      <c r="B39" s="18"/>
      <c r="C39" s="60">
        <v>0.0002</v>
      </c>
      <c r="D39" s="50">
        <f t="shared" si="0"/>
        <v>0</v>
      </c>
      <c r="E39" s="59">
        <v>0.014</v>
      </c>
      <c r="F39" s="51">
        <f t="shared" si="1"/>
        <v>0</v>
      </c>
      <c r="G39" s="51">
        <v>2</v>
      </c>
      <c r="H39" s="47">
        <f t="shared" si="2"/>
        <v>0</v>
      </c>
      <c r="I39" s="38"/>
    </row>
    <row r="40" spans="1:9" ht="15.6" customHeight="1">
      <c r="A40" s="66" t="s">
        <v>172</v>
      </c>
      <c r="B40" s="18"/>
      <c r="C40" s="60">
        <v>0.0002</v>
      </c>
      <c r="D40" s="50">
        <f t="shared" si="0"/>
        <v>0</v>
      </c>
      <c r="E40" s="59">
        <v>0.0095</v>
      </c>
      <c r="F40" s="51">
        <f t="shared" si="1"/>
        <v>0</v>
      </c>
      <c r="G40" s="51">
        <v>2</v>
      </c>
      <c r="H40" s="47">
        <f t="shared" si="2"/>
        <v>0</v>
      </c>
      <c r="I40" s="38"/>
    </row>
    <row r="41" spans="1:9" ht="15.6" customHeight="1">
      <c r="A41" s="66" t="s">
        <v>183</v>
      </c>
      <c r="B41" s="18"/>
      <c r="C41" s="60">
        <v>0.0002</v>
      </c>
      <c r="D41" s="50">
        <f aca="true" t="shared" si="6" ref="D41">B41*C41</f>
        <v>0</v>
      </c>
      <c r="E41" s="59">
        <v>0.014</v>
      </c>
      <c r="F41" s="51">
        <f aca="true" t="shared" si="7" ref="F41">B41*E41</f>
        <v>0</v>
      </c>
      <c r="G41" s="51">
        <v>2</v>
      </c>
      <c r="H41" s="47">
        <f aca="true" t="shared" si="8" ref="H41">B41*G41</f>
        <v>0</v>
      </c>
      <c r="I41" s="38"/>
    </row>
    <row r="42" spans="1:9" ht="15.6" customHeight="1">
      <c r="A42" s="66" t="s">
        <v>16</v>
      </c>
      <c r="B42" s="18"/>
      <c r="C42" s="57">
        <v>0</v>
      </c>
      <c r="D42" s="50">
        <f t="shared" si="0"/>
        <v>0</v>
      </c>
      <c r="E42" s="59">
        <v>0.0062</v>
      </c>
      <c r="F42" s="51">
        <f t="shared" si="1"/>
        <v>0</v>
      </c>
      <c r="G42" s="51">
        <v>0</v>
      </c>
      <c r="H42" s="47">
        <f t="shared" si="2"/>
        <v>0</v>
      </c>
      <c r="I42" s="40"/>
    </row>
    <row r="43" spans="1:9" ht="15">
      <c r="A43" s="65" t="s">
        <v>39</v>
      </c>
      <c r="B43" s="17"/>
      <c r="C43" s="61">
        <v>0</v>
      </c>
      <c r="D43" s="53">
        <f t="shared" si="0"/>
        <v>0</v>
      </c>
      <c r="E43" s="47">
        <v>0.0062</v>
      </c>
      <c r="F43" s="54">
        <f t="shared" si="1"/>
        <v>0</v>
      </c>
      <c r="G43" s="54">
        <v>0</v>
      </c>
      <c r="H43" s="47">
        <f t="shared" si="2"/>
        <v>0</v>
      </c>
      <c r="I43" s="41"/>
    </row>
    <row r="44" spans="1:27" ht="15.6" customHeight="1">
      <c r="A44" s="67" t="s">
        <v>36</v>
      </c>
      <c r="B44" s="19"/>
      <c r="C44" s="62">
        <v>0.0001</v>
      </c>
      <c r="D44" s="50">
        <f t="shared" si="0"/>
        <v>0</v>
      </c>
      <c r="E44" s="50">
        <v>0.0002</v>
      </c>
      <c r="F44" s="51">
        <f t="shared" si="1"/>
        <v>0</v>
      </c>
      <c r="G44" s="51">
        <v>0</v>
      </c>
      <c r="H44" s="47">
        <f t="shared" si="2"/>
        <v>0</v>
      </c>
      <c r="I44" s="40"/>
      <c r="AA44" s="23"/>
    </row>
    <row r="45" spans="1:27" ht="15.6" customHeight="1">
      <c r="A45" s="66" t="s">
        <v>0</v>
      </c>
      <c r="B45" s="18"/>
      <c r="C45" s="57">
        <v>0.00046</v>
      </c>
      <c r="D45" s="50">
        <f t="shared" si="0"/>
        <v>0</v>
      </c>
      <c r="E45" s="59">
        <v>0.0045</v>
      </c>
      <c r="F45" s="51">
        <f t="shared" si="1"/>
        <v>0</v>
      </c>
      <c r="G45" s="51">
        <v>1</v>
      </c>
      <c r="H45" s="47">
        <f t="shared" si="2"/>
        <v>0</v>
      </c>
      <c r="I45" s="38"/>
      <c r="AA45" s="23"/>
    </row>
    <row r="46" spans="1:9" ht="15.6" customHeight="1">
      <c r="A46" s="66" t="s">
        <v>1</v>
      </c>
      <c r="B46" s="18"/>
      <c r="C46" s="57">
        <v>0.000505</v>
      </c>
      <c r="D46" s="50">
        <f t="shared" si="0"/>
        <v>0</v>
      </c>
      <c r="E46" s="58">
        <v>0.0005</v>
      </c>
      <c r="F46" s="51">
        <f t="shared" si="1"/>
        <v>0</v>
      </c>
      <c r="G46" s="51">
        <v>2</v>
      </c>
      <c r="H46" s="47">
        <f t="shared" si="2"/>
        <v>0</v>
      </c>
      <c r="I46" s="38"/>
    </row>
    <row r="47" spans="1:9" ht="15.6" customHeight="1">
      <c r="A47" s="66" t="s">
        <v>2</v>
      </c>
      <c r="B47" s="18"/>
      <c r="C47" s="57">
        <v>0.0003</v>
      </c>
      <c r="D47" s="50">
        <f t="shared" si="0"/>
        <v>0</v>
      </c>
      <c r="E47" s="59">
        <v>0.003</v>
      </c>
      <c r="F47" s="51">
        <f t="shared" si="1"/>
        <v>0</v>
      </c>
      <c r="G47" s="51">
        <v>2</v>
      </c>
      <c r="H47" s="47">
        <f t="shared" si="2"/>
        <v>0</v>
      </c>
      <c r="I47" s="38"/>
    </row>
    <row r="48" spans="1:9" ht="15.6" customHeight="1">
      <c r="A48" s="66" t="s">
        <v>3</v>
      </c>
      <c r="B48" s="18"/>
      <c r="C48" s="57">
        <v>0.00075</v>
      </c>
      <c r="D48" s="50">
        <f t="shared" si="0"/>
        <v>0</v>
      </c>
      <c r="E48" s="59">
        <v>0.0045</v>
      </c>
      <c r="F48" s="51">
        <f t="shared" si="1"/>
        <v>0</v>
      </c>
      <c r="G48" s="51">
        <v>1</v>
      </c>
      <c r="H48" s="47">
        <f t="shared" si="2"/>
        <v>0</v>
      </c>
      <c r="I48" s="38"/>
    </row>
    <row r="49" spans="1:9" ht="15.6" customHeight="1">
      <c r="A49" s="66" t="s">
        <v>4</v>
      </c>
      <c r="B49" s="18"/>
      <c r="C49" s="57">
        <v>0.00028</v>
      </c>
      <c r="D49" s="50">
        <f t="shared" si="0"/>
        <v>0</v>
      </c>
      <c r="E49" s="58">
        <v>0.0003</v>
      </c>
      <c r="F49" s="51">
        <f t="shared" si="1"/>
        <v>0</v>
      </c>
      <c r="G49" s="51">
        <v>2</v>
      </c>
      <c r="H49" s="47">
        <f t="shared" si="2"/>
        <v>0</v>
      </c>
      <c r="I49" s="39"/>
    </row>
    <row r="50" spans="1:9" ht="15.6" customHeight="1">
      <c r="A50" s="66" t="s">
        <v>5</v>
      </c>
      <c r="B50" s="18"/>
      <c r="C50" s="57">
        <v>0</v>
      </c>
      <c r="D50" s="50">
        <f t="shared" si="0"/>
        <v>0</v>
      </c>
      <c r="E50" s="58"/>
      <c r="F50" s="51">
        <f t="shared" si="1"/>
        <v>0</v>
      </c>
      <c r="G50" s="51">
        <v>0</v>
      </c>
      <c r="H50" s="47">
        <f t="shared" si="2"/>
        <v>0</v>
      </c>
      <c r="I50" s="39"/>
    </row>
    <row r="51" spans="1:9" ht="15.6" customHeight="1">
      <c r="A51" s="159" t="s">
        <v>182</v>
      </c>
      <c r="B51" s="18"/>
      <c r="C51" s="57">
        <v>0.00046</v>
      </c>
      <c r="D51" s="50">
        <f t="shared" si="0"/>
        <v>0</v>
      </c>
      <c r="E51" s="58">
        <v>0.00046</v>
      </c>
      <c r="F51" s="51">
        <f t="shared" si="1"/>
        <v>0</v>
      </c>
      <c r="G51" s="51">
        <v>1</v>
      </c>
      <c r="H51" s="51">
        <f t="shared" si="1"/>
        <v>0</v>
      </c>
      <c r="I51" s="39"/>
    </row>
    <row r="52" spans="1:27" ht="15">
      <c r="A52" s="65" t="s">
        <v>44</v>
      </c>
      <c r="B52" s="17"/>
      <c r="C52" s="61">
        <v>0.00072</v>
      </c>
      <c r="D52" s="53">
        <f t="shared" si="0"/>
        <v>0</v>
      </c>
      <c r="E52" s="47">
        <v>0.0055</v>
      </c>
      <c r="F52" s="54">
        <f t="shared" si="1"/>
        <v>0</v>
      </c>
      <c r="G52" s="54">
        <v>1</v>
      </c>
      <c r="H52" s="47">
        <f t="shared" si="2"/>
        <v>0</v>
      </c>
      <c r="I52" s="3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5">
      <c r="A53" s="65" t="s">
        <v>43</v>
      </c>
      <c r="B53" s="17"/>
      <c r="C53" s="61">
        <v>0.00072</v>
      </c>
      <c r="D53" s="53">
        <f t="shared" si="0"/>
        <v>0</v>
      </c>
      <c r="E53" s="47">
        <v>0.0055</v>
      </c>
      <c r="F53" s="54">
        <f t="shared" si="1"/>
        <v>0</v>
      </c>
      <c r="G53" s="54">
        <v>2</v>
      </c>
      <c r="H53" s="47">
        <f t="shared" si="2"/>
        <v>0</v>
      </c>
      <c r="I53" s="3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">
      <c r="A54" s="65" t="s">
        <v>41</v>
      </c>
      <c r="B54" s="17"/>
      <c r="C54" s="61">
        <v>0.00072</v>
      </c>
      <c r="D54" s="53">
        <f t="shared" si="0"/>
        <v>0</v>
      </c>
      <c r="E54" s="47">
        <v>0.0055</v>
      </c>
      <c r="F54" s="54">
        <f t="shared" si="1"/>
        <v>0</v>
      </c>
      <c r="G54" s="54">
        <v>3</v>
      </c>
      <c r="H54" s="47">
        <f t="shared" si="2"/>
        <v>0</v>
      </c>
      <c r="I54" s="3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5">
      <c r="A55" s="65" t="s">
        <v>42</v>
      </c>
      <c r="B55" s="17"/>
      <c r="C55" s="61">
        <v>0.00086</v>
      </c>
      <c r="D55" s="53">
        <f t="shared" si="0"/>
        <v>0</v>
      </c>
      <c r="E55" s="47">
        <v>0.0083</v>
      </c>
      <c r="F55" s="54">
        <f t="shared" si="1"/>
        <v>0</v>
      </c>
      <c r="G55" s="54">
        <v>6</v>
      </c>
      <c r="H55" s="47">
        <f t="shared" si="2"/>
        <v>0</v>
      </c>
      <c r="I55" s="3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">
      <c r="A56" s="65" t="s">
        <v>47</v>
      </c>
      <c r="B56" s="17"/>
      <c r="C56" s="61">
        <v>0.00063</v>
      </c>
      <c r="D56" s="53">
        <f t="shared" si="0"/>
        <v>0</v>
      </c>
      <c r="E56" s="47">
        <v>0.0078</v>
      </c>
      <c r="F56" s="54">
        <f t="shared" si="1"/>
        <v>0</v>
      </c>
      <c r="G56" s="54">
        <v>3</v>
      </c>
      <c r="H56" s="47">
        <f t="shared" si="2"/>
        <v>0</v>
      </c>
      <c r="I56" s="3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">
      <c r="A57" s="65" t="s">
        <v>45</v>
      </c>
      <c r="B57" s="17"/>
      <c r="C57" s="61">
        <v>0.00074</v>
      </c>
      <c r="D57" s="53">
        <f t="shared" si="0"/>
        <v>0</v>
      </c>
      <c r="E57" s="47">
        <v>0.0031</v>
      </c>
      <c r="F57" s="54">
        <f t="shared" si="1"/>
        <v>0</v>
      </c>
      <c r="G57" s="54">
        <v>2</v>
      </c>
      <c r="H57" s="47">
        <f t="shared" si="2"/>
        <v>0</v>
      </c>
      <c r="I57" s="3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5">
      <c r="A58" s="65" t="s">
        <v>48</v>
      </c>
      <c r="B58" s="17"/>
      <c r="C58" s="61">
        <v>0.015</v>
      </c>
      <c r="D58" s="53">
        <f t="shared" si="0"/>
        <v>0</v>
      </c>
      <c r="E58" s="47">
        <v>0.0035</v>
      </c>
      <c r="F58" s="54">
        <f t="shared" si="1"/>
        <v>0</v>
      </c>
      <c r="G58" s="54">
        <v>2</v>
      </c>
      <c r="H58" s="47">
        <f t="shared" si="2"/>
        <v>0</v>
      </c>
      <c r="I58" s="3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5">
      <c r="A59" s="65" t="s">
        <v>46</v>
      </c>
      <c r="B59" s="17"/>
      <c r="C59" s="61">
        <v>0.00069</v>
      </c>
      <c r="D59" s="53">
        <f t="shared" si="0"/>
        <v>0</v>
      </c>
      <c r="E59" s="47">
        <v>0.0033</v>
      </c>
      <c r="F59" s="54">
        <f t="shared" si="1"/>
        <v>0</v>
      </c>
      <c r="G59" s="54">
        <v>1</v>
      </c>
      <c r="H59" s="47">
        <f t="shared" si="2"/>
        <v>0</v>
      </c>
      <c r="I59" s="3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5.6" customHeight="1">
      <c r="A60" s="66"/>
      <c r="B60" s="18"/>
      <c r="C60" s="57"/>
      <c r="D60" s="50"/>
      <c r="E60" s="58"/>
      <c r="F60" s="51"/>
      <c r="G60" s="51"/>
      <c r="H60" s="47"/>
      <c r="I60" s="3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9" ht="15.6" customHeight="1">
      <c r="A61" s="66" t="s">
        <v>32</v>
      </c>
      <c r="B61" s="18"/>
      <c r="C61" s="57">
        <v>0.00046</v>
      </c>
      <c r="D61" s="50">
        <f aca="true" t="shared" si="9" ref="D61:D64">B61*C61</f>
        <v>0</v>
      </c>
      <c r="E61" s="58">
        <v>0.00046</v>
      </c>
      <c r="F61" s="51">
        <f aca="true" t="shared" si="10" ref="F61:F64">B61*E61</f>
        <v>0</v>
      </c>
      <c r="G61" s="51">
        <v>1</v>
      </c>
      <c r="H61" s="47">
        <f>B61*G61</f>
        <v>0</v>
      </c>
      <c r="I61" s="38"/>
    </row>
    <row r="62" spans="1:9" ht="15.6" customHeight="1">
      <c r="A62" s="66" t="s">
        <v>33</v>
      </c>
      <c r="B62" s="18"/>
      <c r="C62" s="57">
        <v>0.00092</v>
      </c>
      <c r="D62" s="50">
        <f t="shared" si="9"/>
        <v>0</v>
      </c>
      <c r="E62" s="58">
        <v>0.00092</v>
      </c>
      <c r="F62" s="51">
        <f t="shared" si="10"/>
        <v>0</v>
      </c>
      <c r="G62" s="51">
        <v>2</v>
      </c>
      <c r="H62" s="47">
        <f>B62*G62</f>
        <v>0</v>
      </c>
      <c r="I62" s="38"/>
    </row>
    <row r="63" spans="1:9" ht="15.6" customHeight="1">
      <c r="A63" s="66" t="s">
        <v>31</v>
      </c>
      <c r="B63" s="18"/>
      <c r="C63" s="57">
        <v>0.004</v>
      </c>
      <c r="D63" s="50">
        <f t="shared" si="9"/>
        <v>0</v>
      </c>
      <c r="E63" s="58">
        <v>0.004</v>
      </c>
      <c r="F63" s="51">
        <f t="shared" si="10"/>
        <v>0</v>
      </c>
      <c r="G63" s="51">
        <v>1</v>
      </c>
      <c r="H63" s="47">
        <f>B63*G63</f>
        <v>0</v>
      </c>
      <c r="I63" s="38"/>
    </row>
    <row r="64" spans="1:9" ht="15.6" customHeight="1">
      <c r="A64" s="66" t="s">
        <v>56</v>
      </c>
      <c r="B64" s="18"/>
      <c r="C64" s="57">
        <v>0</v>
      </c>
      <c r="D64" s="50">
        <f t="shared" si="9"/>
        <v>0</v>
      </c>
      <c r="E64" s="58">
        <v>0.002</v>
      </c>
      <c r="F64" s="51">
        <f t="shared" si="10"/>
        <v>0</v>
      </c>
      <c r="G64" s="51">
        <v>0</v>
      </c>
      <c r="H64" s="47">
        <f>B64*G64</f>
        <v>0</v>
      </c>
      <c r="I64" s="38"/>
    </row>
    <row r="65" spans="1:9" ht="15.6" customHeight="1">
      <c r="A65" s="66"/>
      <c r="B65" s="18"/>
      <c r="C65" s="57"/>
      <c r="D65" s="58"/>
      <c r="E65" s="58"/>
      <c r="F65" s="58"/>
      <c r="G65" s="58"/>
      <c r="H65" s="58"/>
      <c r="I65" s="38"/>
    </row>
    <row r="66" spans="1:9" ht="15.6" customHeight="1">
      <c r="A66" s="66" t="s">
        <v>57</v>
      </c>
      <c r="B66" s="18">
        <f>SUM(B6:B14,B21:B27,B28:B36,B39:B63)</f>
        <v>0</v>
      </c>
      <c r="C66" s="175" t="s">
        <v>58</v>
      </c>
      <c r="D66" s="58">
        <f>SUM(D6:D65)</f>
        <v>0</v>
      </c>
      <c r="E66" s="176" t="s">
        <v>59</v>
      </c>
      <c r="F66" s="58">
        <f>SUM(F5:F65)</f>
        <v>0.04</v>
      </c>
      <c r="G66" s="176" t="s">
        <v>88</v>
      </c>
      <c r="H66" s="58">
        <f>SUM(H6:H64)</f>
        <v>0</v>
      </c>
      <c r="I66" s="40"/>
    </row>
    <row r="67" spans="1:9" ht="16.2" thickBot="1">
      <c r="A67" s="42"/>
      <c r="B67" s="22"/>
      <c r="C67" s="22"/>
      <c r="D67" s="22"/>
      <c r="E67" s="22"/>
      <c r="F67" s="22"/>
      <c r="G67" s="22"/>
      <c r="H67" s="22"/>
      <c r="I67" s="42"/>
    </row>
    <row r="68" spans="3:8" ht="16.8" thickBot="1" thickTop="1">
      <c r="C68" s="23"/>
      <c r="D68" s="23"/>
      <c r="E68" s="23"/>
      <c r="F68" s="71" t="str">
        <f>IF(F66&lt;0.4,"Load ok","above 80% load")</f>
        <v>Load ok</v>
      </c>
      <c r="G68" s="23"/>
      <c r="H68" s="23"/>
    </row>
    <row r="69" spans="1:8" ht="16.8" thickBot="1" thickTop="1">
      <c r="A69" s="26" t="s">
        <v>68</v>
      </c>
      <c r="C69" s="23" t="s">
        <v>89</v>
      </c>
      <c r="D69" s="23"/>
      <c r="E69" s="23"/>
      <c r="F69" s="23"/>
      <c r="G69" s="23"/>
      <c r="H69" s="23"/>
    </row>
    <row r="70" spans="1:3" ht="16.5" thickBot="1">
      <c r="A70" s="24" t="s">
        <v>76</v>
      </c>
      <c r="C70" s="70">
        <f>VLOOKUP(A70,Sheet2!A:B,2,FALSE)</f>
        <v>12.1</v>
      </c>
    </row>
    <row r="71" ht="16.5" thickBot="1">
      <c r="A71" s="26" t="s">
        <v>175</v>
      </c>
    </row>
    <row r="72" ht="16.5" thickBot="1">
      <c r="A72" s="24">
        <v>1000</v>
      </c>
    </row>
    <row r="73" ht="16.5" thickBot="1">
      <c r="A73" s="26" t="s">
        <v>90</v>
      </c>
    </row>
    <row r="74" spans="1:3" ht="17.25" thickBot="1" thickTop="1">
      <c r="A74" s="69">
        <f>PRODUCT((A72*(C70/1000)*2)*F66)</f>
        <v>0.968</v>
      </c>
      <c r="C74" s="71" t="str">
        <f>IF(A74&lt;8,"Loop ok","Loop not ok")</f>
        <v>Loop ok</v>
      </c>
    </row>
    <row r="75" ht="16.5" thickBot="1">
      <c r="A75" s="70" t="s">
        <v>174</v>
      </c>
    </row>
    <row r="76" ht="16.2" thickBot="1">
      <c r="A76" s="73">
        <f>MIN(2000,(PRODUCT((8/(F66)/((C70/1000)*2)))))</f>
        <v>2000</v>
      </c>
    </row>
  </sheetData>
  <sheetProtection algorithmName="SHA-512" hashValue="5q7oZeaW9S0xmEWDrD7/kOPJvU9SS2pWxJjkzUr4yGNqZcq5dt83/OfTd+IB/NQzWtBp4OWSlOADClXfSqoT/w==" saltValue="6ItSzXonptdOGwEQken5yw==" spinCount="100000" sheet="1" objects="1" scenarios="1" selectLockedCells="1"/>
  <conditionalFormatting sqref="C74">
    <cfRule type="cellIs" priority="5" dxfId="4" operator="lessThan" stopIfTrue="1">
      <formula>11</formula>
    </cfRule>
  </conditionalFormatting>
  <conditionalFormatting sqref="A74">
    <cfRule type="cellIs" priority="3" dxfId="1" operator="lessThan" stopIfTrue="1">
      <formula>8</formula>
    </cfRule>
    <cfRule type="cellIs" priority="4" dxfId="0" operator="greaterThan" stopIfTrue="1">
      <formula>8</formula>
    </cfRule>
  </conditionalFormatting>
  <conditionalFormatting sqref="F66">
    <cfRule type="cellIs" priority="1" dxfId="1" operator="lessThan">
      <formula>0.4</formula>
    </cfRule>
    <cfRule type="cellIs" priority="2" dxfId="0" operator="greaterThan">
      <formula>0.4</formula>
    </cfRule>
  </conditionalFormatting>
  <dataValidations count="1">
    <dataValidation type="list" allowBlank="1" showInputMessage="1" showErrorMessage="1" sqref="A70">
      <formula1>Sheet2!$A$6:$A$22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workbookViewId="0" topLeftCell="A55">
      <selection activeCell="D71" sqref="D71"/>
    </sheetView>
  </sheetViews>
  <sheetFormatPr defaultColWidth="9.140625" defaultRowHeight="15"/>
  <cols>
    <col min="1" max="1" width="65.57421875" style="26" customWidth="1"/>
    <col min="2" max="2" width="5.28125" style="23" customWidth="1"/>
    <col min="3" max="3" width="12.421875" style="26" customWidth="1"/>
    <col min="4" max="4" width="18.421875" style="26" customWidth="1"/>
    <col min="5" max="6" width="19.7109375" style="26" customWidth="1"/>
    <col min="7" max="8" width="13.57421875" style="26" customWidth="1"/>
    <col min="9" max="9" width="16.7109375" style="26" customWidth="1"/>
    <col min="10" max="16384" width="8.8515625" style="27" customWidth="1"/>
  </cols>
  <sheetData>
    <row r="1" spans="1:2" ht="30" customHeight="1" thickBot="1">
      <c r="A1" s="25" t="s">
        <v>55</v>
      </c>
      <c r="B1" s="74" t="s">
        <v>159</v>
      </c>
    </row>
    <row r="2" spans="1:9" ht="15.75" customHeight="1">
      <c r="A2" s="157" t="s">
        <v>187</v>
      </c>
      <c r="B2" s="13"/>
      <c r="C2" s="28"/>
      <c r="D2" s="28"/>
      <c r="E2" s="28"/>
      <c r="F2" s="28"/>
      <c r="G2" s="28" t="s">
        <v>86</v>
      </c>
      <c r="H2" s="28"/>
      <c r="I2" s="29"/>
    </row>
    <row r="3" spans="1:9" ht="15.6" customHeight="1">
      <c r="A3" s="158" t="s">
        <v>6</v>
      </c>
      <c r="B3" s="14" t="s">
        <v>49</v>
      </c>
      <c r="C3" s="30" t="s">
        <v>51</v>
      </c>
      <c r="D3" s="30" t="s">
        <v>50</v>
      </c>
      <c r="E3" s="30" t="s">
        <v>52</v>
      </c>
      <c r="F3" s="30" t="s">
        <v>53</v>
      </c>
      <c r="G3" s="30" t="s">
        <v>87</v>
      </c>
      <c r="H3" s="30" t="s">
        <v>88</v>
      </c>
      <c r="I3" s="31" t="s">
        <v>54</v>
      </c>
    </row>
    <row r="4" spans="1:9" ht="15.6" customHeight="1" thickBot="1">
      <c r="A4" s="171"/>
      <c r="B4" s="14"/>
      <c r="C4" s="30"/>
      <c r="D4" s="30"/>
      <c r="E4" s="30"/>
      <c r="F4" s="32"/>
      <c r="G4" s="32"/>
      <c r="H4" s="32"/>
      <c r="I4" s="31"/>
    </row>
    <row r="5" spans="1:9" ht="15.6" customHeight="1">
      <c r="A5" s="63" t="s">
        <v>160</v>
      </c>
      <c r="B5" s="15">
        <v>8</v>
      </c>
      <c r="C5" s="43">
        <v>0</v>
      </c>
      <c r="D5" s="44">
        <f>B5*C5</f>
        <v>0</v>
      </c>
      <c r="E5" s="45">
        <v>0.005</v>
      </c>
      <c r="F5" s="46">
        <f>B5*E5</f>
        <v>0.04</v>
      </c>
      <c r="G5" s="47">
        <v>0</v>
      </c>
      <c r="H5" s="48"/>
      <c r="I5" s="34"/>
    </row>
    <row r="6" spans="1:9" ht="15.6" customHeight="1">
      <c r="A6" s="64" t="s">
        <v>7</v>
      </c>
      <c r="B6" s="16"/>
      <c r="C6" s="49">
        <v>0.0002</v>
      </c>
      <c r="D6" s="50">
        <f>B6*C6</f>
        <v>0</v>
      </c>
      <c r="E6" s="50">
        <v>0.0002</v>
      </c>
      <c r="F6" s="51">
        <f>B6*E6</f>
        <v>0</v>
      </c>
      <c r="G6" s="47">
        <v>1</v>
      </c>
      <c r="H6" s="47">
        <f>B6*G6</f>
        <v>0</v>
      </c>
      <c r="I6" s="35"/>
    </row>
    <row r="7" spans="1:9" ht="15.6" customHeight="1">
      <c r="A7" s="64" t="s">
        <v>8</v>
      </c>
      <c r="B7" s="16"/>
      <c r="C7" s="49">
        <v>0.0002</v>
      </c>
      <c r="D7" s="50">
        <f aca="true" t="shared" si="0" ref="D7:D59">B7*C7</f>
        <v>0</v>
      </c>
      <c r="E7" s="50">
        <v>0.0002</v>
      </c>
      <c r="F7" s="51">
        <f aca="true" t="shared" si="1" ref="F7:H59">B7*E7</f>
        <v>0</v>
      </c>
      <c r="G7" s="47">
        <v>1</v>
      </c>
      <c r="H7" s="47">
        <f aca="true" t="shared" si="2" ref="H7:H59">B7*G7</f>
        <v>0</v>
      </c>
      <c r="I7" s="35"/>
    </row>
    <row r="8" spans="1:9" ht="15.6" customHeight="1">
      <c r="A8" s="64" t="s">
        <v>9</v>
      </c>
      <c r="B8" s="16"/>
      <c r="C8" s="49">
        <v>0.0002</v>
      </c>
      <c r="D8" s="50">
        <f t="shared" si="0"/>
        <v>0</v>
      </c>
      <c r="E8" s="50">
        <v>0.0002</v>
      </c>
      <c r="F8" s="51">
        <f t="shared" si="1"/>
        <v>0</v>
      </c>
      <c r="G8" s="47">
        <v>1</v>
      </c>
      <c r="H8" s="47">
        <f t="shared" si="2"/>
        <v>0</v>
      </c>
      <c r="I8" s="35"/>
    </row>
    <row r="9" spans="1:9" ht="15.6" customHeight="1">
      <c r="A9" s="64" t="s">
        <v>10</v>
      </c>
      <c r="B9" s="16"/>
      <c r="C9" s="49">
        <v>0.0002</v>
      </c>
      <c r="D9" s="50">
        <f t="shared" si="0"/>
        <v>0</v>
      </c>
      <c r="E9" s="50">
        <v>0.0002</v>
      </c>
      <c r="F9" s="51">
        <f t="shared" si="1"/>
        <v>0</v>
      </c>
      <c r="G9" s="47">
        <v>1</v>
      </c>
      <c r="H9" s="47">
        <f t="shared" si="2"/>
        <v>0</v>
      </c>
      <c r="I9" s="35"/>
    </row>
    <row r="10" spans="1:9" ht="15.6" customHeight="1">
      <c r="A10" s="64" t="s">
        <v>11</v>
      </c>
      <c r="B10" s="16"/>
      <c r="C10" s="49">
        <v>0.0002</v>
      </c>
      <c r="D10" s="50">
        <f t="shared" si="0"/>
        <v>0</v>
      </c>
      <c r="E10" s="50">
        <v>0.0002</v>
      </c>
      <c r="F10" s="51">
        <f t="shared" si="1"/>
        <v>0</v>
      </c>
      <c r="G10" s="47">
        <v>2</v>
      </c>
      <c r="H10" s="47">
        <f t="shared" si="2"/>
        <v>0</v>
      </c>
      <c r="I10" s="35"/>
    </row>
    <row r="11" spans="1:9" ht="15.6" customHeight="1">
      <c r="A11" s="174" t="s">
        <v>17</v>
      </c>
      <c r="B11" s="16"/>
      <c r="C11" s="49">
        <v>0.0002</v>
      </c>
      <c r="D11" s="50">
        <f t="shared" si="0"/>
        <v>0</v>
      </c>
      <c r="E11" s="50">
        <v>0.0002</v>
      </c>
      <c r="F11" s="51">
        <f t="shared" si="1"/>
        <v>0</v>
      </c>
      <c r="G11" s="47">
        <v>2</v>
      </c>
      <c r="H11" s="47">
        <f t="shared" si="2"/>
        <v>0</v>
      </c>
      <c r="I11" s="35"/>
    </row>
    <row r="12" spans="1:9" ht="15.6" customHeight="1">
      <c r="A12" s="174" t="s">
        <v>12</v>
      </c>
      <c r="B12" s="16"/>
      <c r="C12" s="49">
        <v>0.0002</v>
      </c>
      <c r="D12" s="50">
        <f t="shared" si="0"/>
        <v>0</v>
      </c>
      <c r="E12" s="50">
        <v>0.0002</v>
      </c>
      <c r="F12" s="51">
        <f t="shared" si="1"/>
        <v>0</v>
      </c>
      <c r="G12" s="47">
        <v>2</v>
      </c>
      <c r="H12" s="47">
        <f t="shared" si="2"/>
        <v>0</v>
      </c>
      <c r="I12" s="35"/>
    </row>
    <row r="13" spans="1:9" ht="15.6" customHeight="1">
      <c r="A13" s="64" t="s">
        <v>13</v>
      </c>
      <c r="B13" s="16"/>
      <c r="C13" s="49">
        <v>0.0002</v>
      </c>
      <c r="D13" s="50">
        <f t="shared" si="0"/>
        <v>0</v>
      </c>
      <c r="E13" s="51">
        <v>0.0035</v>
      </c>
      <c r="F13" s="51">
        <f t="shared" si="1"/>
        <v>0</v>
      </c>
      <c r="G13" s="47">
        <v>2</v>
      </c>
      <c r="H13" s="47">
        <f t="shared" si="2"/>
        <v>0</v>
      </c>
      <c r="I13" s="35"/>
    </row>
    <row r="14" spans="1:9" ht="15">
      <c r="A14" s="65" t="s">
        <v>40</v>
      </c>
      <c r="B14" s="17"/>
      <c r="C14" s="52">
        <v>0.0002</v>
      </c>
      <c r="D14" s="53">
        <f t="shared" si="0"/>
        <v>0</v>
      </c>
      <c r="E14" s="47">
        <v>0.0035</v>
      </c>
      <c r="F14" s="54">
        <f t="shared" si="1"/>
        <v>0</v>
      </c>
      <c r="G14" s="54">
        <v>2</v>
      </c>
      <c r="H14" s="47">
        <f t="shared" si="2"/>
        <v>0</v>
      </c>
      <c r="I14" s="33"/>
    </row>
    <row r="15" spans="1:9" ht="15.6" customHeight="1">
      <c r="A15" s="66"/>
      <c r="B15" s="18"/>
      <c r="C15" s="55"/>
      <c r="D15" s="50"/>
      <c r="E15" s="56"/>
      <c r="F15" s="51"/>
      <c r="G15" s="51"/>
      <c r="H15" s="47"/>
      <c r="I15" s="37"/>
    </row>
    <row r="16" spans="1:9" ht="15.6" customHeight="1">
      <c r="A16" s="67" t="s">
        <v>27</v>
      </c>
      <c r="B16" s="19"/>
      <c r="C16" s="49">
        <v>0</v>
      </c>
      <c r="D16" s="50">
        <f t="shared" si="0"/>
        <v>0</v>
      </c>
      <c r="E16" s="50">
        <v>0</v>
      </c>
      <c r="F16" s="51">
        <f t="shared" si="1"/>
        <v>0</v>
      </c>
      <c r="G16" s="51">
        <v>0</v>
      </c>
      <c r="H16" s="47">
        <f t="shared" si="2"/>
        <v>0</v>
      </c>
      <c r="I16" s="37"/>
    </row>
    <row r="17" spans="1:9" ht="15.6" customHeight="1">
      <c r="A17" s="67" t="s">
        <v>28</v>
      </c>
      <c r="B17" s="19"/>
      <c r="C17" s="57">
        <v>0</v>
      </c>
      <c r="D17" s="50">
        <f t="shared" si="0"/>
        <v>0</v>
      </c>
      <c r="E17" s="58">
        <v>0</v>
      </c>
      <c r="F17" s="51">
        <f t="shared" si="1"/>
        <v>0</v>
      </c>
      <c r="G17" s="51">
        <v>0</v>
      </c>
      <c r="H17" s="47">
        <f t="shared" si="2"/>
        <v>0</v>
      </c>
      <c r="I17" s="38"/>
    </row>
    <row r="18" spans="1:9" ht="15.6" customHeight="1">
      <c r="A18" s="173" t="s">
        <v>18</v>
      </c>
      <c r="B18" s="19"/>
      <c r="C18" s="60">
        <v>6E-05</v>
      </c>
      <c r="D18" s="50">
        <f t="shared" si="0"/>
        <v>0</v>
      </c>
      <c r="E18" s="59">
        <v>6E-05</v>
      </c>
      <c r="F18" s="51">
        <f t="shared" si="1"/>
        <v>0</v>
      </c>
      <c r="G18" s="51">
        <v>0</v>
      </c>
      <c r="H18" s="47">
        <f t="shared" si="2"/>
        <v>0</v>
      </c>
      <c r="I18" s="36"/>
    </row>
    <row r="19" spans="1:9" ht="15.6" customHeight="1">
      <c r="A19" s="173" t="s">
        <v>19</v>
      </c>
      <c r="B19" s="19"/>
      <c r="C19" s="60">
        <v>6E-05</v>
      </c>
      <c r="D19" s="50">
        <f t="shared" si="0"/>
        <v>0</v>
      </c>
      <c r="E19" s="59">
        <v>6E-05</v>
      </c>
      <c r="F19" s="51">
        <f t="shared" si="1"/>
        <v>0</v>
      </c>
      <c r="G19" s="51">
        <v>0</v>
      </c>
      <c r="H19" s="47">
        <f t="shared" si="2"/>
        <v>0</v>
      </c>
      <c r="I19" s="36"/>
    </row>
    <row r="20" spans="1:27" ht="15.6" customHeight="1">
      <c r="A20" s="173" t="s">
        <v>20</v>
      </c>
      <c r="B20" s="19"/>
      <c r="C20" s="60">
        <v>6E-05</v>
      </c>
      <c r="D20" s="50">
        <f t="shared" si="0"/>
        <v>0</v>
      </c>
      <c r="E20" s="59">
        <v>6E-05</v>
      </c>
      <c r="F20" s="51">
        <f t="shared" si="1"/>
        <v>0</v>
      </c>
      <c r="G20" s="51">
        <v>0</v>
      </c>
      <c r="H20" s="47">
        <f t="shared" si="2"/>
        <v>0</v>
      </c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5.6" customHeight="1">
      <c r="A21" s="66" t="s">
        <v>14</v>
      </c>
      <c r="B21" s="18"/>
      <c r="C21" s="49">
        <v>0.0002</v>
      </c>
      <c r="D21" s="50">
        <f t="shared" si="0"/>
        <v>0</v>
      </c>
      <c r="E21" s="50">
        <v>0.0002</v>
      </c>
      <c r="F21" s="51">
        <f t="shared" si="1"/>
        <v>0</v>
      </c>
      <c r="G21" s="51">
        <v>1</v>
      </c>
      <c r="H21" s="47">
        <f t="shared" si="2"/>
        <v>0</v>
      </c>
      <c r="I21" s="3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9" ht="15.6" customHeight="1">
      <c r="A22" s="66" t="s">
        <v>15</v>
      </c>
      <c r="B22" s="18"/>
      <c r="C22" s="49">
        <v>0.0002</v>
      </c>
      <c r="D22" s="50">
        <f t="shared" si="0"/>
        <v>0</v>
      </c>
      <c r="E22" s="50">
        <v>0.0002</v>
      </c>
      <c r="F22" s="51">
        <f t="shared" si="1"/>
        <v>0</v>
      </c>
      <c r="G22" s="51">
        <v>1</v>
      </c>
      <c r="H22" s="47">
        <f t="shared" si="2"/>
        <v>0</v>
      </c>
      <c r="I22" s="38"/>
    </row>
    <row r="23" spans="1:9" ht="15">
      <c r="A23" s="65" t="s">
        <v>37</v>
      </c>
      <c r="B23" s="17"/>
      <c r="C23" s="52">
        <v>0.0002</v>
      </c>
      <c r="D23" s="53">
        <f t="shared" si="0"/>
        <v>0</v>
      </c>
      <c r="E23" s="53">
        <v>0.0002</v>
      </c>
      <c r="F23" s="54">
        <f t="shared" si="1"/>
        <v>0</v>
      </c>
      <c r="G23" s="54">
        <v>1</v>
      </c>
      <c r="H23" s="47">
        <f t="shared" si="2"/>
        <v>0</v>
      </c>
      <c r="I23" s="33"/>
    </row>
    <row r="24" spans="1:9" ht="15">
      <c r="A24" s="65" t="s">
        <v>38</v>
      </c>
      <c r="B24" s="17"/>
      <c r="C24" s="52">
        <v>0.0002</v>
      </c>
      <c r="D24" s="53">
        <f t="shared" si="0"/>
        <v>0</v>
      </c>
      <c r="E24" s="53">
        <v>0.0002</v>
      </c>
      <c r="F24" s="54">
        <f t="shared" si="1"/>
        <v>0</v>
      </c>
      <c r="G24" s="54">
        <v>1</v>
      </c>
      <c r="H24" s="47">
        <f t="shared" si="2"/>
        <v>0</v>
      </c>
      <c r="I24" s="33"/>
    </row>
    <row r="25" spans="1:9" ht="15.6" customHeight="1">
      <c r="A25" s="173" t="s">
        <v>29</v>
      </c>
      <c r="B25" s="19"/>
      <c r="C25" s="49">
        <v>0.0002</v>
      </c>
      <c r="D25" s="50">
        <f t="shared" si="0"/>
        <v>0</v>
      </c>
      <c r="E25" s="50">
        <v>0.0002</v>
      </c>
      <c r="F25" s="51">
        <f t="shared" si="1"/>
        <v>0</v>
      </c>
      <c r="G25" s="51">
        <v>1</v>
      </c>
      <c r="H25" s="47">
        <f t="shared" si="2"/>
        <v>0</v>
      </c>
      <c r="I25" s="36"/>
    </row>
    <row r="26" spans="1:9" ht="15.6" customHeight="1">
      <c r="A26" s="173" t="s">
        <v>30</v>
      </c>
      <c r="B26" s="19"/>
      <c r="C26" s="49">
        <v>0.0002</v>
      </c>
      <c r="D26" s="50">
        <f t="shared" si="0"/>
        <v>0</v>
      </c>
      <c r="E26" s="50">
        <v>0.0002</v>
      </c>
      <c r="F26" s="51">
        <f t="shared" si="1"/>
        <v>0</v>
      </c>
      <c r="G26" s="51">
        <v>1</v>
      </c>
      <c r="H26" s="47">
        <f t="shared" si="2"/>
        <v>0</v>
      </c>
      <c r="I26" s="36"/>
    </row>
    <row r="27" spans="1:9" ht="15.6" customHeight="1">
      <c r="A27" s="66"/>
      <c r="B27" s="18"/>
      <c r="C27" s="57"/>
      <c r="D27" s="50"/>
      <c r="E27" s="58"/>
      <c r="F27" s="51"/>
      <c r="G27" s="51"/>
      <c r="H27" s="47"/>
      <c r="I27" s="38"/>
    </row>
    <row r="28" spans="1:27" ht="15.6" customHeight="1">
      <c r="A28" s="67" t="s">
        <v>22</v>
      </c>
      <c r="B28" s="19"/>
      <c r="C28" s="60">
        <v>0.0002</v>
      </c>
      <c r="D28" s="50">
        <f t="shared" si="0"/>
        <v>0</v>
      </c>
      <c r="E28" s="59">
        <v>0.0068</v>
      </c>
      <c r="F28" s="51">
        <f t="shared" si="1"/>
        <v>0</v>
      </c>
      <c r="G28" s="51">
        <v>1</v>
      </c>
      <c r="H28" s="47">
        <f t="shared" si="2"/>
        <v>0</v>
      </c>
      <c r="I28" s="3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6" customHeight="1">
      <c r="A29" s="67" t="s">
        <v>21</v>
      </c>
      <c r="B29" s="19"/>
      <c r="C29" s="60">
        <v>0.0002</v>
      </c>
      <c r="D29" s="50">
        <f t="shared" si="0"/>
        <v>0</v>
      </c>
      <c r="E29" s="59">
        <v>0.0068</v>
      </c>
      <c r="F29" s="51">
        <f t="shared" si="1"/>
        <v>0</v>
      </c>
      <c r="G29" s="51">
        <v>1</v>
      </c>
      <c r="H29" s="47">
        <f t="shared" si="2"/>
        <v>0</v>
      </c>
      <c r="I29" s="3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.6" customHeight="1">
      <c r="A30" s="66"/>
      <c r="B30" s="18"/>
      <c r="C30" s="57"/>
      <c r="D30" s="50"/>
      <c r="E30" s="58"/>
      <c r="F30" s="51"/>
      <c r="G30" s="51"/>
      <c r="H30" s="47"/>
      <c r="I30" s="3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.6" customHeight="1">
      <c r="A31" s="65" t="s">
        <v>26</v>
      </c>
      <c r="B31" s="20"/>
      <c r="C31" s="60">
        <v>0.0002</v>
      </c>
      <c r="D31" s="50">
        <f t="shared" si="0"/>
        <v>0</v>
      </c>
      <c r="E31" s="58">
        <v>0.02</v>
      </c>
      <c r="F31" s="51">
        <f t="shared" si="1"/>
        <v>0</v>
      </c>
      <c r="G31" s="51">
        <v>1</v>
      </c>
      <c r="H31" s="47">
        <f t="shared" si="2"/>
        <v>0</v>
      </c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9" ht="15.6" customHeight="1">
      <c r="A32" s="65" t="s">
        <v>34</v>
      </c>
      <c r="B32" s="20"/>
      <c r="C32" s="60">
        <v>0.0002</v>
      </c>
      <c r="D32" s="50">
        <f t="shared" si="0"/>
        <v>0</v>
      </c>
      <c r="E32" s="58">
        <v>0.02</v>
      </c>
      <c r="F32" s="51">
        <f t="shared" si="1"/>
        <v>0</v>
      </c>
      <c r="G32" s="51">
        <v>1</v>
      </c>
      <c r="H32" s="47">
        <f t="shared" si="2"/>
        <v>0</v>
      </c>
      <c r="I32" s="36"/>
    </row>
    <row r="33" spans="1:9" ht="15.6" customHeight="1">
      <c r="A33" s="65" t="s">
        <v>35</v>
      </c>
      <c r="B33" s="20"/>
      <c r="C33" s="60">
        <v>0.0002</v>
      </c>
      <c r="D33" s="50">
        <f t="shared" si="0"/>
        <v>0</v>
      </c>
      <c r="E33" s="58">
        <v>0.02</v>
      </c>
      <c r="F33" s="51">
        <f t="shared" si="1"/>
        <v>0</v>
      </c>
      <c r="G33" s="51">
        <v>1</v>
      </c>
      <c r="H33" s="47">
        <f t="shared" si="2"/>
        <v>0</v>
      </c>
      <c r="I33" s="36"/>
    </row>
    <row r="34" spans="1:9" ht="15.6" customHeight="1">
      <c r="A34" s="66" t="s">
        <v>23</v>
      </c>
      <c r="B34" s="18"/>
      <c r="C34" s="60">
        <v>0.0002</v>
      </c>
      <c r="D34" s="50">
        <f t="shared" si="0"/>
        <v>0</v>
      </c>
      <c r="E34" s="58">
        <v>0.02</v>
      </c>
      <c r="F34" s="51">
        <f t="shared" si="1"/>
        <v>0</v>
      </c>
      <c r="G34" s="51">
        <v>1</v>
      </c>
      <c r="H34" s="47">
        <f t="shared" si="2"/>
        <v>0</v>
      </c>
      <c r="I34" s="38"/>
    </row>
    <row r="35" spans="1:9" ht="15.6" customHeight="1">
      <c r="A35" s="66" t="s">
        <v>24</v>
      </c>
      <c r="B35" s="18"/>
      <c r="C35" s="60">
        <v>0.0002</v>
      </c>
      <c r="D35" s="50">
        <f t="shared" si="0"/>
        <v>0</v>
      </c>
      <c r="E35" s="58">
        <v>0.02</v>
      </c>
      <c r="F35" s="51">
        <f t="shared" si="1"/>
        <v>0</v>
      </c>
      <c r="G35" s="51">
        <v>1</v>
      </c>
      <c r="H35" s="47">
        <f t="shared" si="2"/>
        <v>0</v>
      </c>
      <c r="I35" s="38"/>
    </row>
    <row r="36" spans="1:9" ht="15.6" customHeight="1">
      <c r="A36" s="66" t="s">
        <v>25</v>
      </c>
      <c r="B36" s="18"/>
      <c r="C36" s="60">
        <v>0.0002</v>
      </c>
      <c r="D36" s="50">
        <f t="shared" si="0"/>
        <v>0</v>
      </c>
      <c r="E36" s="58">
        <v>0.02</v>
      </c>
      <c r="F36" s="51">
        <f t="shared" si="1"/>
        <v>0</v>
      </c>
      <c r="G36" s="51">
        <v>1</v>
      </c>
      <c r="H36" s="47">
        <f t="shared" si="2"/>
        <v>0</v>
      </c>
      <c r="I36" s="38"/>
    </row>
    <row r="37" spans="1:9" ht="15.6" customHeight="1">
      <c r="A37" s="68"/>
      <c r="B37" s="21"/>
      <c r="C37" s="57"/>
      <c r="D37" s="50"/>
      <c r="E37" s="58"/>
      <c r="F37" s="51"/>
      <c r="G37" s="51"/>
      <c r="H37" s="47"/>
      <c r="I37" s="38"/>
    </row>
    <row r="38" spans="1:9" ht="15.6" customHeight="1">
      <c r="A38" s="66" t="s">
        <v>171</v>
      </c>
      <c r="B38" s="18"/>
      <c r="C38" s="60">
        <v>0.0002</v>
      </c>
      <c r="D38" s="50">
        <f aca="true" t="shared" si="3" ref="D38">B38*C38</f>
        <v>0</v>
      </c>
      <c r="E38" s="59">
        <v>0.0095</v>
      </c>
      <c r="F38" s="51">
        <f aca="true" t="shared" si="4" ref="F38">B38*E38</f>
        <v>0</v>
      </c>
      <c r="G38" s="51">
        <v>2</v>
      </c>
      <c r="H38" s="47">
        <f aca="true" t="shared" si="5" ref="H38">B38*G38</f>
        <v>0</v>
      </c>
      <c r="I38" s="38"/>
    </row>
    <row r="39" spans="1:9" ht="15.6" customHeight="1">
      <c r="A39" s="66" t="s">
        <v>184</v>
      </c>
      <c r="B39" s="18"/>
      <c r="C39" s="60">
        <v>0.0002</v>
      </c>
      <c r="D39" s="50">
        <f t="shared" si="0"/>
        <v>0</v>
      </c>
      <c r="E39" s="59">
        <v>0.014</v>
      </c>
      <c r="F39" s="51">
        <f t="shared" si="1"/>
        <v>0</v>
      </c>
      <c r="G39" s="51">
        <v>2</v>
      </c>
      <c r="H39" s="47">
        <f t="shared" si="2"/>
        <v>0</v>
      </c>
      <c r="I39" s="38"/>
    </row>
    <row r="40" spans="1:9" ht="15.6" customHeight="1">
      <c r="A40" s="66" t="s">
        <v>172</v>
      </c>
      <c r="B40" s="18"/>
      <c r="C40" s="60">
        <v>0.0002</v>
      </c>
      <c r="D40" s="50">
        <f t="shared" si="0"/>
        <v>0</v>
      </c>
      <c r="E40" s="59">
        <v>0.0095</v>
      </c>
      <c r="F40" s="51">
        <f t="shared" si="1"/>
        <v>0</v>
      </c>
      <c r="G40" s="51">
        <v>2</v>
      </c>
      <c r="H40" s="47">
        <f t="shared" si="2"/>
        <v>0</v>
      </c>
      <c r="I40" s="38"/>
    </row>
    <row r="41" spans="1:9" ht="15.6" customHeight="1">
      <c r="A41" s="66" t="s">
        <v>183</v>
      </c>
      <c r="B41" s="18"/>
      <c r="C41" s="60">
        <v>0.0002</v>
      </c>
      <c r="D41" s="50">
        <f aca="true" t="shared" si="6" ref="D41">B41*C41</f>
        <v>0</v>
      </c>
      <c r="E41" s="59">
        <v>0.014</v>
      </c>
      <c r="F41" s="51">
        <f aca="true" t="shared" si="7" ref="F41">B41*E41</f>
        <v>0</v>
      </c>
      <c r="G41" s="51">
        <v>2</v>
      </c>
      <c r="H41" s="47">
        <f aca="true" t="shared" si="8" ref="H41">B41*G41</f>
        <v>0</v>
      </c>
      <c r="I41" s="38"/>
    </row>
    <row r="42" spans="1:9" ht="15.6" customHeight="1">
      <c r="A42" s="66" t="s">
        <v>16</v>
      </c>
      <c r="B42" s="18"/>
      <c r="C42" s="57">
        <v>0</v>
      </c>
      <c r="D42" s="50">
        <f t="shared" si="0"/>
        <v>0</v>
      </c>
      <c r="E42" s="59">
        <v>0.0062</v>
      </c>
      <c r="F42" s="51">
        <f t="shared" si="1"/>
        <v>0</v>
      </c>
      <c r="G42" s="51">
        <v>0</v>
      </c>
      <c r="H42" s="47">
        <f t="shared" si="2"/>
        <v>0</v>
      </c>
      <c r="I42" s="40"/>
    </row>
    <row r="43" spans="1:9" ht="15">
      <c r="A43" s="65" t="s">
        <v>39</v>
      </c>
      <c r="B43" s="17"/>
      <c r="C43" s="61">
        <v>0</v>
      </c>
      <c r="D43" s="53">
        <f t="shared" si="0"/>
        <v>0</v>
      </c>
      <c r="E43" s="47">
        <v>0.0062</v>
      </c>
      <c r="F43" s="54">
        <f t="shared" si="1"/>
        <v>0</v>
      </c>
      <c r="G43" s="54">
        <v>0</v>
      </c>
      <c r="H43" s="47">
        <f t="shared" si="2"/>
        <v>0</v>
      </c>
      <c r="I43" s="41"/>
    </row>
    <row r="44" spans="1:27" ht="15.6" customHeight="1">
      <c r="A44" s="67" t="s">
        <v>36</v>
      </c>
      <c r="B44" s="19"/>
      <c r="C44" s="62">
        <v>0.0001</v>
      </c>
      <c r="D44" s="50">
        <f t="shared" si="0"/>
        <v>0</v>
      </c>
      <c r="E44" s="50">
        <v>0.0002</v>
      </c>
      <c r="F44" s="51">
        <f t="shared" si="1"/>
        <v>0</v>
      </c>
      <c r="G44" s="51">
        <v>0</v>
      </c>
      <c r="H44" s="47">
        <f t="shared" si="2"/>
        <v>0</v>
      </c>
      <c r="I44" s="40"/>
      <c r="AA44" s="23"/>
    </row>
    <row r="45" spans="1:27" ht="15.6" customHeight="1">
      <c r="A45" s="66" t="s">
        <v>0</v>
      </c>
      <c r="B45" s="18"/>
      <c r="C45" s="57">
        <v>0.00046</v>
      </c>
      <c r="D45" s="50">
        <f t="shared" si="0"/>
        <v>0</v>
      </c>
      <c r="E45" s="59">
        <v>0.0045</v>
      </c>
      <c r="F45" s="51">
        <f t="shared" si="1"/>
        <v>0</v>
      </c>
      <c r="G45" s="51">
        <v>1</v>
      </c>
      <c r="H45" s="47">
        <f t="shared" si="2"/>
        <v>0</v>
      </c>
      <c r="I45" s="38"/>
      <c r="AA45" s="23"/>
    </row>
    <row r="46" spans="1:9" ht="15.6" customHeight="1">
      <c r="A46" s="66" t="s">
        <v>1</v>
      </c>
      <c r="B46" s="18"/>
      <c r="C46" s="57">
        <v>0.000505</v>
      </c>
      <c r="D46" s="50">
        <f t="shared" si="0"/>
        <v>0</v>
      </c>
      <c r="E46" s="58">
        <v>0.0005</v>
      </c>
      <c r="F46" s="51">
        <f t="shared" si="1"/>
        <v>0</v>
      </c>
      <c r="G46" s="51">
        <v>2</v>
      </c>
      <c r="H46" s="47">
        <f t="shared" si="2"/>
        <v>0</v>
      </c>
      <c r="I46" s="38"/>
    </row>
    <row r="47" spans="1:9" ht="15.6" customHeight="1">
      <c r="A47" s="66" t="s">
        <v>2</v>
      </c>
      <c r="B47" s="18"/>
      <c r="C47" s="57">
        <v>0.0003</v>
      </c>
      <c r="D47" s="50">
        <f t="shared" si="0"/>
        <v>0</v>
      </c>
      <c r="E47" s="59">
        <v>0.003</v>
      </c>
      <c r="F47" s="51">
        <f t="shared" si="1"/>
        <v>0</v>
      </c>
      <c r="G47" s="51">
        <v>2</v>
      </c>
      <c r="H47" s="47">
        <f t="shared" si="2"/>
        <v>0</v>
      </c>
      <c r="I47" s="38"/>
    </row>
    <row r="48" spans="1:9" ht="15.6" customHeight="1">
      <c r="A48" s="66" t="s">
        <v>3</v>
      </c>
      <c r="B48" s="18"/>
      <c r="C48" s="57">
        <v>0.00075</v>
      </c>
      <c r="D48" s="50">
        <f t="shared" si="0"/>
        <v>0</v>
      </c>
      <c r="E48" s="59">
        <v>0.0045</v>
      </c>
      <c r="F48" s="51">
        <f t="shared" si="1"/>
        <v>0</v>
      </c>
      <c r="G48" s="51">
        <v>1</v>
      </c>
      <c r="H48" s="47">
        <f t="shared" si="2"/>
        <v>0</v>
      </c>
      <c r="I48" s="38"/>
    </row>
    <row r="49" spans="1:9" ht="15.6" customHeight="1">
      <c r="A49" s="66" t="s">
        <v>4</v>
      </c>
      <c r="B49" s="18"/>
      <c r="C49" s="57">
        <v>0.00028</v>
      </c>
      <c r="D49" s="50">
        <f t="shared" si="0"/>
        <v>0</v>
      </c>
      <c r="E49" s="58">
        <v>0.0003</v>
      </c>
      <c r="F49" s="51">
        <f t="shared" si="1"/>
        <v>0</v>
      </c>
      <c r="G49" s="51">
        <v>2</v>
      </c>
      <c r="H49" s="47">
        <f t="shared" si="2"/>
        <v>0</v>
      </c>
      <c r="I49" s="39"/>
    </row>
    <row r="50" spans="1:9" ht="15.6" customHeight="1">
      <c r="A50" s="66" t="s">
        <v>5</v>
      </c>
      <c r="B50" s="18"/>
      <c r="C50" s="57">
        <v>0</v>
      </c>
      <c r="D50" s="50">
        <f t="shared" si="0"/>
        <v>0</v>
      </c>
      <c r="E50" s="58"/>
      <c r="F50" s="51">
        <f t="shared" si="1"/>
        <v>0</v>
      </c>
      <c r="G50" s="51">
        <v>0</v>
      </c>
      <c r="H50" s="47">
        <f t="shared" si="2"/>
        <v>0</v>
      </c>
      <c r="I50" s="39"/>
    </row>
    <row r="51" spans="1:9" ht="15.6" customHeight="1">
      <c r="A51" s="159" t="s">
        <v>182</v>
      </c>
      <c r="B51" s="18"/>
      <c r="C51" s="57">
        <v>0.00046</v>
      </c>
      <c r="D51" s="50">
        <f t="shared" si="0"/>
        <v>0</v>
      </c>
      <c r="E51" s="58">
        <v>0.00046</v>
      </c>
      <c r="F51" s="51">
        <f t="shared" si="1"/>
        <v>0</v>
      </c>
      <c r="G51" s="51">
        <v>1</v>
      </c>
      <c r="H51" s="51">
        <f t="shared" si="1"/>
        <v>0</v>
      </c>
      <c r="I51" s="39"/>
    </row>
    <row r="52" spans="1:27" ht="15">
      <c r="A52" s="65" t="s">
        <v>44</v>
      </c>
      <c r="B52" s="17"/>
      <c r="C52" s="61">
        <v>0.00072</v>
      </c>
      <c r="D52" s="53">
        <f t="shared" si="0"/>
        <v>0</v>
      </c>
      <c r="E52" s="47">
        <v>0.0055</v>
      </c>
      <c r="F52" s="54">
        <f t="shared" si="1"/>
        <v>0</v>
      </c>
      <c r="G52" s="54">
        <v>1</v>
      </c>
      <c r="H52" s="47">
        <f t="shared" si="2"/>
        <v>0</v>
      </c>
      <c r="I52" s="3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5">
      <c r="A53" s="65" t="s">
        <v>43</v>
      </c>
      <c r="B53" s="17"/>
      <c r="C53" s="61">
        <v>0.00072</v>
      </c>
      <c r="D53" s="53">
        <f t="shared" si="0"/>
        <v>0</v>
      </c>
      <c r="E53" s="47">
        <v>0.0055</v>
      </c>
      <c r="F53" s="54">
        <f t="shared" si="1"/>
        <v>0</v>
      </c>
      <c r="G53" s="54">
        <v>2</v>
      </c>
      <c r="H53" s="47">
        <f t="shared" si="2"/>
        <v>0</v>
      </c>
      <c r="I53" s="3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">
      <c r="A54" s="65" t="s">
        <v>41</v>
      </c>
      <c r="B54" s="17"/>
      <c r="C54" s="61">
        <v>0.00072</v>
      </c>
      <c r="D54" s="53">
        <f t="shared" si="0"/>
        <v>0</v>
      </c>
      <c r="E54" s="47">
        <v>0.0055</v>
      </c>
      <c r="F54" s="54">
        <f t="shared" si="1"/>
        <v>0</v>
      </c>
      <c r="G54" s="54">
        <v>3</v>
      </c>
      <c r="H54" s="47">
        <f t="shared" si="2"/>
        <v>0</v>
      </c>
      <c r="I54" s="3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5">
      <c r="A55" s="65" t="s">
        <v>42</v>
      </c>
      <c r="B55" s="17"/>
      <c r="C55" s="61">
        <v>0.00086</v>
      </c>
      <c r="D55" s="53">
        <f t="shared" si="0"/>
        <v>0</v>
      </c>
      <c r="E55" s="47">
        <v>0.0083</v>
      </c>
      <c r="F55" s="54">
        <f t="shared" si="1"/>
        <v>0</v>
      </c>
      <c r="G55" s="54">
        <v>6</v>
      </c>
      <c r="H55" s="47">
        <f t="shared" si="2"/>
        <v>0</v>
      </c>
      <c r="I55" s="3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">
      <c r="A56" s="65" t="s">
        <v>47</v>
      </c>
      <c r="B56" s="17"/>
      <c r="C56" s="61">
        <v>0.00063</v>
      </c>
      <c r="D56" s="53">
        <f t="shared" si="0"/>
        <v>0</v>
      </c>
      <c r="E56" s="47">
        <v>0.0078</v>
      </c>
      <c r="F56" s="54">
        <f t="shared" si="1"/>
        <v>0</v>
      </c>
      <c r="G56" s="54">
        <v>3</v>
      </c>
      <c r="H56" s="47">
        <f t="shared" si="2"/>
        <v>0</v>
      </c>
      <c r="I56" s="3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">
      <c r="A57" s="65" t="s">
        <v>45</v>
      </c>
      <c r="B57" s="17"/>
      <c r="C57" s="61">
        <v>0.00074</v>
      </c>
      <c r="D57" s="53">
        <f t="shared" si="0"/>
        <v>0</v>
      </c>
      <c r="E57" s="47">
        <v>0.0031</v>
      </c>
      <c r="F57" s="54">
        <f t="shared" si="1"/>
        <v>0</v>
      </c>
      <c r="G57" s="54">
        <v>2</v>
      </c>
      <c r="H57" s="47">
        <f t="shared" si="2"/>
        <v>0</v>
      </c>
      <c r="I57" s="3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5">
      <c r="A58" s="65" t="s">
        <v>48</v>
      </c>
      <c r="B58" s="17"/>
      <c r="C58" s="61">
        <v>0.015</v>
      </c>
      <c r="D58" s="53">
        <f t="shared" si="0"/>
        <v>0</v>
      </c>
      <c r="E58" s="47">
        <v>0.0035</v>
      </c>
      <c r="F58" s="54">
        <f t="shared" si="1"/>
        <v>0</v>
      </c>
      <c r="G58" s="54">
        <v>2</v>
      </c>
      <c r="H58" s="47">
        <f t="shared" si="2"/>
        <v>0</v>
      </c>
      <c r="I58" s="3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5">
      <c r="A59" s="65" t="s">
        <v>46</v>
      </c>
      <c r="B59" s="17"/>
      <c r="C59" s="61">
        <v>0.00069</v>
      </c>
      <c r="D59" s="53">
        <f t="shared" si="0"/>
        <v>0</v>
      </c>
      <c r="E59" s="47">
        <v>0.0033</v>
      </c>
      <c r="F59" s="54">
        <f t="shared" si="1"/>
        <v>0</v>
      </c>
      <c r="G59" s="54">
        <v>1</v>
      </c>
      <c r="H59" s="47">
        <f t="shared" si="2"/>
        <v>0</v>
      </c>
      <c r="I59" s="3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5.6" customHeight="1">
      <c r="A60" s="66"/>
      <c r="B60" s="18"/>
      <c r="C60" s="57"/>
      <c r="D60" s="50"/>
      <c r="E60" s="58"/>
      <c r="F60" s="51"/>
      <c r="G60" s="51"/>
      <c r="H60" s="47"/>
      <c r="I60" s="3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9" ht="15.6" customHeight="1">
      <c r="A61" s="66" t="s">
        <v>32</v>
      </c>
      <c r="B61" s="18"/>
      <c r="C61" s="57">
        <v>0.00046</v>
      </c>
      <c r="D61" s="50">
        <f aca="true" t="shared" si="9" ref="D61:D64">B61*C61</f>
        <v>0</v>
      </c>
      <c r="E61" s="58">
        <v>0.00046</v>
      </c>
      <c r="F61" s="51">
        <f aca="true" t="shared" si="10" ref="F61:F64">B61*E61</f>
        <v>0</v>
      </c>
      <c r="G61" s="51">
        <v>1</v>
      </c>
      <c r="H61" s="47">
        <f>B61*G61</f>
        <v>0</v>
      </c>
      <c r="I61" s="38"/>
    </row>
    <row r="62" spans="1:9" ht="15.6" customHeight="1">
      <c r="A62" s="66" t="s">
        <v>33</v>
      </c>
      <c r="B62" s="18"/>
      <c r="C62" s="57">
        <v>0.00092</v>
      </c>
      <c r="D62" s="50">
        <f t="shared" si="9"/>
        <v>0</v>
      </c>
      <c r="E62" s="58">
        <v>0.00092</v>
      </c>
      <c r="F62" s="51">
        <f t="shared" si="10"/>
        <v>0</v>
      </c>
      <c r="G62" s="51">
        <v>2</v>
      </c>
      <c r="H62" s="47">
        <f>B62*G62</f>
        <v>0</v>
      </c>
      <c r="I62" s="38"/>
    </row>
    <row r="63" spans="1:9" ht="15.6" customHeight="1">
      <c r="A63" s="66" t="s">
        <v>31</v>
      </c>
      <c r="B63" s="18"/>
      <c r="C63" s="57">
        <v>0.004</v>
      </c>
      <c r="D63" s="50">
        <f t="shared" si="9"/>
        <v>0</v>
      </c>
      <c r="E63" s="58">
        <v>0.004</v>
      </c>
      <c r="F63" s="51">
        <f t="shared" si="10"/>
        <v>0</v>
      </c>
      <c r="G63" s="51">
        <v>1</v>
      </c>
      <c r="H63" s="47">
        <f>B63*G63</f>
        <v>0</v>
      </c>
      <c r="I63" s="38"/>
    </row>
    <row r="64" spans="1:9" ht="15.6" customHeight="1">
      <c r="A64" s="66" t="s">
        <v>56</v>
      </c>
      <c r="B64" s="18"/>
      <c r="C64" s="57">
        <v>0</v>
      </c>
      <c r="D64" s="50">
        <f t="shared" si="9"/>
        <v>0</v>
      </c>
      <c r="E64" s="58">
        <v>0.002</v>
      </c>
      <c r="F64" s="51">
        <f t="shared" si="10"/>
        <v>0</v>
      </c>
      <c r="G64" s="51">
        <v>0</v>
      </c>
      <c r="H64" s="47">
        <f>B64*G64</f>
        <v>0</v>
      </c>
      <c r="I64" s="38"/>
    </row>
    <row r="65" spans="1:9" ht="15.6" customHeight="1">
      <c r="A65" s="66"/>
      <c r="B65" s="18"/>
      <c r="C65" s="57"/>
      <c r="D65" s="58"/>
      <c r="E65" s="58"/>
      <c r="F65" s="58"/>
      <c r="G65" s="58"/>
      <c r="H65" s="58"/>
      <c r="I65" s="38"/>
    </row>
    <row r="66" spans="1:9" ht="15.6" customHeight="1">
      <c r="A66" s="66" t="s">
        <v>57</v>
      </c>
      <c r="B66" s="18">
        <f>SUM(B6:B14,B21:B27,B28:B36,B39:B63)</f>
        <v>0</v>
      </c>
      <c r="C66" s="175" t="s">
        <v>58</v>
      </c>
      <c r="D66" s="58">
        <f>SUM(D6:D65)</f>
        <v>0</v>
      </c>
      <c r="E66" s="176" t="s">
        <v>59</v>
      </c>
      <c r="F66" s="58">
        <f>SUM(F5:F65)</f>
        <v>0.04</v>
      </c>
      <c r="G66" s="176" t="s">
        <v>88</v>
      </c>
      <c r="H66" s="58">
        <f>SUM(H6:H64)</f>
        <v>0</v>
      </c>
      <c r="I66" s="40"/>
    </row>
    <row r="67" spans="1:9" ht="16.2" thickBot="1">
      <c r="A67" s="42"/>
      <c r="B67" s="22"/>
      <c r="C67" s="22"/>
      <c r="D67" s="22"/>
      <c r="E67" s="22"/>
      <c r="F67" s="22"/>
      <c r="G67" s="22"/>
      <c r="H67" s="22"/>
      <c r="I67" s="42"/>
    </row>
    <row r="68" spans="3:8" ht="16.8" thickBot="1" thickTop="1">
      <c r="C68" s="23"/>
      <c r="D68" s="23"/>
      <c r="E68" s="23"/>
      <c r="F68" s="71" t="str">
        <f>IF(F66&lt;0.4,"Load ok","above 80% load")</f>
        <v>Load ok</v>
      </c>
      <c r="G68" s="23"/>
      <c r="H68" s="23"/>
    </row>
    <row r="69" spans="1:8" ht="16.8" thickBot="1" thickTop="1">
      <c r="A69" s="26" t="s">
        <v>68</v>
      </c>
      <c r="C69" s="23" t="s">
        <v>89</v>
      </c>
      <c r="D69" s="23"/>
      <c r="E69" s="23"/>
      <c r="F69" s="23"/>
      <c r="G69" s="23"/>
      <c r="H69" s="23"/>
    </row>
    <row r="70" spans="1:3" ht="16.5" thickBot="1">
      <c r="A70" s="24" t="s">
        <v>76</v>
      </c>
      <c r="C70" s="70">
        <f>VLOOKUP(A70,Sheet2!A:B,2,FALSE)</f>
        <v>12.1</v>
      </c>
    </row>
    <row r="71" ht="16.5" thickBot="1">
      <c r="A71" s="26" t="s">
        <v>175</v>
      </c>
    </row>
    <row r="72" ht="16.5" thickBot="1">
      <c r="A72" s="24">
        <v>1000</v>
      </c>
    </row>
    <row r="73" ht="16.5" thickBot="1">
      <c r="A73" s="26" t="s">
        <v>90</v>
      </c>
    </row>
    <row r="74" spans="1:3" ht="17.25" thickBot="1" thickTop="1">
      <c r="A74" s="69">
        <f>PRODUCT((A72*(C70/1000)*2)*F66)</f>
        <v>0.968</v>
      </c>
      <c r="C74" s="71" t="str">
        <f>IF(A74&lt;8,"Loop ok","Loop not ok")</f>
        <v>Loop ok</v>
      </c>
    </row>
    <row r="75" ht="16.5" thickBot="1">
      <c r="A75" s="70" t="s">
        <v>174</v>
      </c>
    </row>
    <row r="76" ht="16.2" thickBot="1">
      <c r="A76" s="73">
        <f>MIN(2000,(PRODUCT((8/(F66)/((C70/1000)*2)))))</f>
        <v>2000</v>
      </c>
    </row>
  </sheetData>
  <sheetProtection algorithmName="SHA-512" hashValue="LkLV9Tke4lZFn2jybXipNNEyhHJkShAdQUVBIQ8nYoBvvEpsKAhgetUbKcL7Isq7OVMZQBslnLVSSrjhLzB/EQ==" saltValue="1fSRMOOI9Y3+QOm20KqthQ==" spinCount="100000" sheet="1" objects="1" scenarios="1" selectLockedCells="1"/>
  <conditionalFormatting sqref="C74">
    <cfRule type="cellIs" priority="5" dxfId="4" operator="lessThan" stopIfTrue="1">
      <formula>11</formula>
    </cfRule>
  </conditionalFormatting>
  <conditionalFormatting sqref="A74">
    <cfRule type="cellIs" priority="3" dxfId="1" operator="lessThan" stopIfTrue="1">
      <formula>8</formula>
    </cfRule>
    <cfRule type="cellIs" priority="4" dxfId="0" operator="greaterThan" stopIfTrue="1">
      <formula>8</formula>
    </cfRule>
  </conditionalFormatting>
  <conditionalFormatting sqref="F66">
    <cfRule type="cellIs" priority="1" dxfId="1" operator="lessThan">
      <formula>0.4</formula>
    </cfRule>
    <cfRule type="cellIs" priority="2" dxfId="0" operator="greaterThan">
      <formula>0.4</formula>
    </cfRule>
  </conditionalFormatting>
  <dataValidations count="1">
    <dataValidation type="list" allowBlank="1" showInputMessage="1" showErrorMessage="1" sqref="A70">
      <formula1>Sheet2!$A$6:$A$22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workbookViewId="0" topLeftCell="A52">
      <selection activeCell="D70" sqref="D70"/>
    </sheetView>
  </sheetViews>
  <sheetFormatPr defaultColWidth="9.140625" defaultRowHeight="15"/>
  <cols>
    <col min="1" max="1" width="65.57421875" style="26" customWidth="1"/>
    <col min="2" max="2" width="5.28125" style="23" customWidth="1"/>
    <col min="3" max="3" width="12.421875" style="26" customWidth="1"/>
    <col min="4" max="4" width="18.421875" style="26" customWidth="1"/>
    <col min="5" max="6" width="19.7109375" style="26" customWidth="1"/>
    <col min="7" max="8" width="13.57421875" style="26" customWidth="1"/>
    <col min="9" max="9" width="16.7109375" style="26" customWidth="1"/>
    <col min="10" max="16384" width="8.8515625" style="27" customWidth="1"/>
  </cols>
  <sheetData>
    <row r="1" spans="1:2" ht="30" customHeight="1" thickBot="1">
      <c r="A1" s="25" t="s">
        <v>55</v>
      </c>
      <c r="B1" s="74" t="s">
        <v>159</v>
      </c>
    </row>
    <row r="2" spans="1:9" ht="15.75" customHeight="1">
      <c r="A2" s="157" t="s">
        <v>187</v>
      </c>
      <c r="B2" s="13"/>
      <c r="C2" s="28"/>
      <c r="D2" s="28"/>
      <c r="E2" s="28"/>
      <c r="F2" s="28"/>
      <c r="G2" s="28" t="s">
        <v>86</v>
      </c>
      <c r="H2" s="28"/>
      <c r="I2" s="29"/>
    </row>
    <row r="3" spans="1:9" ht="15.6" customHeight="1">
      <c r="A3" s="158" t="s">
        <v>6</v>
      </c>
      <c r="B3" s="14" t="s">
        <v>49</v>
      </c>
      <c r="C3" s="30" t="s">
        <v>51</v>
      </c>
      <c r="D3" s="30" t="s">
        <v>50</v>
      </c>
      <c r="E3" s="30" t="s">
        <v>52</v>
      </c>
      <c r="F3" s="30" t="s">
        <v>53</v>
      </c>
      <c r="G3" s="30" t="s">
        <v>87</v>
      </c>
      <c r="H3" s="30" t="s">
        <v>88</v>
      </c>
      <c r="I3" s="31" t="s">
        <v>54</v>
      </c>
    </row>
    <row r="4" spans="1:9" ht="15.6" customHeight="1" thickBot="1">
      <c r="A4" s="171"/>
      <c r="B4" s="14"/>
      <c r="C4" s="30"/>
      <c r="D4" s="30"/>
      <c r="E4" s="30"/>
      <c r="F4" s="32"/>
      <c r="G4" s="32"/>
      <c r="H4" s="32"/>
      <c r="I4" s="31"/>
    </row>
    <row r="5" spans="1:9" ht="15.6" customHeight="1">
      <c r="A5" s="63" t="s">
        <v>160</v>
      </c>
      <c r="B5" s="15">
        <v>8</v>
      </c>
      <c r="C5" s="43">
        <v>0</v>
      </c>
      <c r="D5" s="44">
        <f>B5*C5</f>
        <v>0</v>
      </c>
      <c r="E5" s="45">
        <v>0.005</v>
      </c>
      <c r="F5" s="46">
        <f>B5*E5</f>
        <v>0.04</v>
      </c>
      <c r="G5" s="47">
        <v>0</v>
      </c>
      <c r="H5" s="48"/>
      <c r="I5" s="34"/>
    </row>
    <row r="6" spans="1:9" ht="15.6" customHeight="1">
      <c r="A6" s="64" t="s">
        <v>7</v>
      </c>
      <c r="B6" s="16"/>
      <c r="C6" s="49">
        <v>0.0002</v>
      </c>
      <c r="D6" s="50">
        <f>B6*C6</f>
        <v>0</v>
      </c>
      <c r="E6" s="50">
        <v>0.0002</v>
      </c>
      <c r="F6" s="51">
        <f>B6*E6</f>
        <v>0</v>
      </c>
      <c r="G6" s="47">
        <v>1</v>
      </c>
      <c r="H6" s="47">
        <f>B6*G6</f>
        <v>0</v>
      </c>
      <c r="I6" s="35"/>
    </row>
    <row r="7" spans="1:9" ht="15.6" customHeight="1">
      <c r="A7" s="64" t="s">
        <v>8</v>
      </c>
      <c r="B7" s="16"/>
      <c r="C7" s="49">
        <v>0.0002</v>
      </c>
      <c r="D7" s="50">
        <f aca="true" t="shared" si="0" ref="D7:D59">B7*C7</f>
        <v>0</v>
      </c>
      <c r="E7" s="50">
        <v>0.0002</v>
      </c>
      <c r="F7" s="51">
        <f aca="true" t="shared" si="1" ref="F7:H59">B7*E7</f>
        <v>0</v>
      </c>
      <c r="G7" s="47">
        <v>1</v>
      </c>
      <c r="H7" s="47">
        <f aca="true" t="shared" si="2" ref="H7:H59">B7*G7</f>
        <v>0</v>
      </c>
      <c r="I7" s="35"/>
    </row>
    <row r="8" spans="1:9" ht="15.6" customHeight="1">
      <c r="A8" s="64" t="s">
        <v>9</v>
      </c>
      <c r="B8" s="16"/>
      <c r="C8" s="49">
        <v>0.0002</v>
      </c>
      <c r="D8" s="50">
        <f t="shared" si="0"/>
        <v>0</v>
      </c>
      <c r="E8" s="50">
        <v>0.0002</v>
      </c>
      <c r="F8" s="51">
        <f t="shared" si="1"/>
        <v>0</v>
      </c>
      <c r="G8" s="47">
        <v>1</v>
      </c>
      <c r="H8" s="47">
        <f t="shared" si="2"/>
        <v>0</v>
      </c>
      <c r="I8" s="35"/>
    </row>
    <row r="9" spans="1:9" ht="15.6" customHeight="1">
      <c r="A9" s="64" t="s">
        <v>10</v>
      </c>
      <c r="B9" s="16"/>
      <c r="C9" s="49">
        <v>0.0002</v>
      </c>
      <c r="D9" s="50">
        <f t="shared" si="0"/>
        <v>0</v>
      </c>
      <c r="E9" s="50">
        <v>0.0002</v>
      </c>
      <c r="F9" s="51">
        <f t="shared" si="1"/>
        <v>0</v>
      </c>
      <c r="G9" s="47">
        <v>1</v>
      </c>
      <c r="H9" s="47">
        <f t="shared" si="2"/>
        <v>0</v>
      </c>
      <c r="I9" s="35"/>
    </row>
    <row r="10" spans="1:9" ht="15.6" customHeight="1">
      <c r="A10" s="64" t="s">
        <v>11</v>
      </c>
      <c r="B10" s="16"/>
      <c r="C10" s="49">
        <v>0.0002</v>
      </c>
      <c r="D10" s="50">
        <f t="shared" si="0"/>
        <v>0</v>
      </c>
      <c r="E10" s="50">
        <v>0.0002</v>
      </c>
      <c r="F10" s="51">
        <f t="shared" si="1"/>
        <v>0</v>
      </c>
      <c r="G10" s="47">
        <v>2</v>
      </c>
      <c r="H10" s="47">
        <f t="shared" si="2"/>
        <v>0</v>
      </c>
      <c r="I10" s="35"/>
    </row>
    <row r="11" spans="1:9" ht="15.6" customHeight="1">
      <c r="A11" s="174" t="s">
        <v>17</v>
      </c>
      <c r="B11" s="16"/>
      <c r="C11" s="49">
        <v>0.0002</v>
      </c>
      <c r="D11" s="50">
        <f t="shared" si="0"/>
        <v>0</v>
      </c>
      <c r="E11" s="50">
        <v>0.0002</v>
      </c>
      <c r="F11" s="51">
        <f t="shared" si="1"/>
        <v>0</v>
      </c>
      <c r="G11" s="47">
        <v>2</v>
      </c>
      <c r="H11" s="47">
        <f t="shared" si="2"/>
        <v>0</v>
      </c>
      <c r="I11" s="35"/>
    </row>
    <row r="12" spans="1:9" ht="15.6" customHeight="1">
      <c r="A12" s="174" t="s">
        <v>12</v>
      </c>
      <c r="B12" s="16"/>
      <c r="C12" s="49">
        <v>0.0002</v>
      </c>
      <c r="D12" s="50">
        <f t="shared" si="0"/>
        <v>0</v>
      </c>
      <c r="E12" s="50">
        <v>0.0002</v>
      </c>
      <c r="F12" s="51">
        <f t="shared" si="1"/>
        <v>0</v>
      </c>
      <c r="G12" s="47">
        <v>2</v>
      </c>
      <c r="H12" s="47">
        <f t="shared" si="2"/>
        <v>0</v>
      </c>
      <c r="I12" s="35"/>
    </row>
    <row r="13" spans="1:9" ht="15.6" customHeight="1">
      <c r="A13" s="64" t="s">
        <v>13</v>
      </c>
      <c r="B13" s="16"/>
      <c r="C13" s="49">
        <v>0.0002</v>
      </c>
      <c r="D13" s="50">
        <f t="shared" si="0"/>
        <v>0</v>
      </c>
      <c r="E13" s="51">
        <v>0.0035</v>
      </c>
      <c r="F13" s="51">
        <f t="shared" si="1"/>
        <v>0</v>
      </c>
      <c r="G13" s="47">
        <v>2</v>
      </c>
      <c r="H13" s="47">
        <f t="shared" si="2"/>
        <v>0</v>
      </c>
      <c r="I13" s="35"/>
    </row>
    <row r="14" spans="1:9" ht="15">
      <c r="A14" s="65" t="s">
        <v>40</v>
      </c>
      <c r="B14" s="17"/>
      <c r="C14" s="52">
        <v>0.0002</v>
      </c>
      <c r="D14" s="53">
        <f t="shared" si="0"/>
        <v>0</v>
      </c>
      <c r="E14" s="47">
        <v>0.0035</v>
      </c>
      <c r="F14" s="54">
        <f t="shared" si="1"/>
        <v>0</v>
      </c>
      <c r="G14" s="54">
        <v>2</v>
      </c>
      <c r="H14" s="47">
        <f t="shared" si="2"/>
        <v>0</v>
      </c>
      <c r="I14" s="33"/>
    </row>
    <row r="15" spans="1:9" ht="15.6" customHeight="1">
      <c r="A15" s="66"/>
      <c r="B15" s="18"/>
      <c r="C15" s="55"/>
      <c r="D15" s="50"/>
      <c r="E15" s="56"/>
      <c r="F15" s="51"/>
      <c r="G15" s="51"/>
      <c r="H15" s="47"/>
      <c r="I15" s="37"/>
    </row>
    <row r="16" spans="1:9" ht="15.6" customHeight="1">
      <c r="A16" s="67" t="s">
        <v>27</v>
      </c>
      <c r="B16" s="19"/>
      <c r="C16" s="49">
        <v>0</v>
      </c>
      <c r="D16" s="50">
        <f t="shared" si="0"/>
        <v>0</v>
      </c>
      <c r="E16" s="50">
        <v>0</v>
      </c>
      <c r="F16" s="51">
        <f t="shared" si="1"/>
        <v>0</v>
      </c>
      <c r="G16" s="51">
        <v>0</v>
      </c>
      <c r="H16" s="47">
        <f t="shared" si="2"/>
        <v>0</v>
      </c>
      <c r="I16" s="37"/>
    </row>
    <row r="17" spans="1:9" ht="15.6" customHeight="1">
      <c r="A17" s="67" t="s">
        <v>28</v>
      </c>
      <c r="B17" s="19"/>
      <c r="C17" s="57">
        <v>0</v>
      </c>
      <c r="D17" s="50">
        <f t="shared" si="0"/>
        <v>0</v>
      </c>
      <c r="E17" s="58">
        <v>0</v>
      </c>
      <c r="F17" s="51">
        <f t="shared" si="1"/>
        <v>0</v>
      </c>
      <c r="G17" s="51">
        <v>0</v>
      </c>
      <c r="H17" s="47">
        <f t="shared" si="2"/>
        <v>0</v>
      </c>
      <c r="I17" s="38"/>
    </row>
    <row r="18" spans="1:9" ht="15.6" customHeight="1">
      <c r="A18" s="173" t="s">
        <v>18</v>
      </c>
      <c r="B18" s="19"/>
      <c r="C18" s="60">
        <v>6E-05</v>
      </c>
      <c r="D18" s="50">
        <f t="shared" si="0"/>
        <v>0</v>
      </c>
      <c r="E18" s="59">
        <v>6E-05</v>
      </c>
      <c r="F18" s="51">
        <f t="shared" si="1"/>
        <v>0</v>
      </c>
      <c r="G18" s="51">
        <v>0</v>
      </c>
      <c r="H18" s="47">
        <f t="shared" si="2"/>
        <v>0</v>
      </c>
      <c r="I18" s="36"/>
    </row>
    <row r="19" spans="1:9" ht="15.6" customHeight="1">
      <c r="A19" s="173" t="s">
        <v>19</v>
      </c>
      <c r="B19" s="19"/>
      <c r="C19" s="60">
        <v>6E-05</v>
      </c>
      <c r="D19" s="50">
        <f t="shared" si="0"/>
        <v>0</v>
      </c>
      <c r="E19" s="59">
        <v>6E-05</v>
      </c>
      <c r="F19" s="51">
        <f t="shared" si="1"/>
        <v>0</v>
      </c>
      <c r="G19" s="51">
        <v>0</v>
      </c>
      <c r="H19" s="47">
        <f t="shared" si="2"/>
        <v>0</v>
      </c>
      <c r="I19" s="36"/>
    </row>
    <row r="20" spans="1:27" ht="15.6" customHeight="1">
      <c r="A20" s="173" t="s">
        <v>20</v>
      </c>
      <c r="B20" s="19"/>
      <c r="C20" s="60">
        <v>6E-05</v>
      </c>
      <c r="D20" s="50">
        <f t="shared" si="0"/>
        <v>0</v>
      </c>
      <c r="E20" s="59">
        <v>6E-05</v>
      </c>
      <c r="F20" s="51">
        <f t="shared" si="1"/>
        <v>0</v>
      </c>
      <c r="G20" s="51">
        <v>0</v>
      </c>
      <c r="H20" s="47">
        <f t="shared" si="2"/>
        <v>0</v>
      </c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5.6" customHeight="1">
      <c r="A21" s="66" t="s">
        <v>14</v>
      </c>
      <c r="B21" s="18"/>
      <c r="C21" s="49">
        <v>0.0002</v>
      </c>
      <c r="D21" s="50">
        <f t="shared" si="0"/>
        <v>0</v>
      </c>
      <c r="E21" s="50">
        <v>0.0002</v>
      </c>
      <c r="F21" s="51">
        <f t="shared" si="1"/>
        <v>0</v>
      </c>
      <c r="G21" s="51">
        <v>1</v>
      </c>
      <c r="H21" s="47">
        <f t="shared" si="2"/>
        <v>0</v>
      </c>
      <c r="I21" s="3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9" ht="15.6" customHeight="1">
      <c r="A22" s="66" t="s">
        <v>15</v>
      </c>
      <c r="B22" s="18"/>
      <c r="C22" s="49">
        <v>0.0002</v>
      </c>
      <c r="D22" s="50">
        <f t="shared" si="0"/>
        <v>0</v>
      </c>
      <c r="E22" s="50">
        <v>0.0002</v>
      </c>
      <c r="F22" s="51">
        <f t="shared" si="1"/>
        <v>0</v>
      </c>
      <c r="G22" s="51">
        <v>1</v>
      </c>
      <c r="H22" s="47">
        <f t="shared" si="2"/>
        <v>0</v>
      </c>
      <c r="I22" s="38"/>
    </row>
    <row r="23" spans="1:9" ht="15">
      <c r="A23" s="65" t="s">
        <v>37</v>
      </c>
      <c r="B23" s="17"/>
      <c r="C23" s="52">
        <v>0.0002</v>
      </c>
      <c r="D23" s="53">
        <f t="shared" si="0"/>
        <v>0</v>
      </c>
      <c r="E23" s="53">
        <v>0.0002</v>
      </c>
      <c r="F23" s="54">
        <f t="shared" si="1"/>
        <v>0</v>
      </c>
      <c r="G23" s="54">
        <v>1</v>
      </c>
      <c r="H23" s="47">
        <f t="shared" si="2"/>
        <v>0</v>
      </c>
      <c r="I23" s="33"/>
    </row>
    <row r="24" spans="1:9" ht="15">
      <c r="A24" s="65" t="s">
        <v>38</v>
      </c>
      <c r="B24" s="17"/>
      <c r="C24" s="52">
        <v>0.0002</v>
      </c>
      <c r="D24" s="53">
        <f t="shared" si="0"/>
        <v>0</v>
      </c>
      <c r="E24" s="53">
        <v>0.0002</v>
      </c>
      <c r="F24" s="54">
        <f t="shared" si="1"/>
        <v>0</v>
      </c>
      <c r="G24" s="54">
        <v>1</v>
      </c>
      <c r="H24" s="47">
        <f t="shared" si="2"/>
        <v>0</v>
      </c>
      <c r="I24" s="33"/>
    </row>
    <row r="25" spans="1:9" ht="15.6" customHeight="1">
      <c r="A25" s="173" t="s">
        <v>29</v>
      </c>
      <c r="B25" s="19"/>
      <c r="C25" s="49">
        <v>0.0002</v>
      </c>
      <c r="D25" s="50">
        <f t="shared" si="0"/>
        <v>0</v>
      </c>
      <c r="E25" s="50">
        <v>0.0002</v>
      </c>
      <c r="F25" s="51">
        <f t="shared" si="1"/>
        <v>0</v>
      </c>
      <c r="G25" s="51">
        <v>1</v>
      </c>
      <c r="H25" s="47">
        <f t="shared" si="2"/>
        <v>0</v>
      </c>
      <c r="I25" s="36"/>
    </row>
    <row r="26" spans="1:9" ht="15.6" customHeight="1">
      <c r="A26" s="173" t="s">
        <v>30</v>
      </c>
      <c r="B26" s="19"/>
      <c r="C26" s="49">
        <v>0.0002</v>
      </c>
      <c r="D26" s="50">
        <f t="shared" si="0"/>
        <v>0</v>
      </c>
      <c r="E26" s="50">
        <v>0.0002</v>
      </c>
      <c r="F26" s="51">
        <f t="shared" si="1"/>
        <v>0</v>
      </c>
      <c r="G26" s="51">
        <v>1</v>
      </c>
      <c r="H26" s="47">
        <f t="shared" si="2"/>
        <v>0</v>
      </c>
      <c r="I26" s="36"/>
    </row>
    <row r="27" spans="1:9" ht="15.6" customHeight="1">
      <c r="A27" s="66"/>
      <c r="B27" s="18"/>
      <c r="C27" s="57"/>
      <c r="D27" s="50"/>
      <c r="E27" s="58"/>
      <c r="F27" s="51"/>
      <c r="G27" s="51"/>
      <c r="H27" s="47"/>
      <c r="I27" s="38"/>
    </row>
    <row r="28" spans="1:27" ht="15.6" customHeight="1">
      <c r="A28" s="67" t="s">
        <v>22</v>
      </c>
      <c r="B28" s="19"/>
      <c r="C28" s="60">
        <v>0.0002</v>
      </c>
      <c r="D28" s="50">
        <f t="shared" si="0"/>
        <v>0</v>
      </c>
      <c r="E28" s="59">
        <v>0.0068</v>
      </c>
      <c r="F28" s="51">
        <f t="shared" si="1"/>
        <v>0</v>
      </c>
      <c r="G28" s="51">
        <v>1</v>
      </c>
      <c r="H28" s="47">
        <f t="shared" si="2"/>
        <v>0</v>
      </c>
      <c r="I28" s="3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6" customHeight="1">
      <c r="A29" s="67" t="s">
        <v>21</v>
      </c>
      <c r="B29" s="19"/>
      <c r="C29" s="60">
        <v>0.0002</v>
      </c>
      <c r="D29" s="50">
        <f t="shared" si="0"/>
        <v>0</v>
      </c>
      <c r="E29" s="59">
        <v>0.0068</v>
      </c>
      <c r="F29" s="51">
        <f t="shared" si="1"/>
        <v>0</v>
      </c>
      <c r="G29" s="51">
        <v>1</v>
      </c>
      <c r="H29" s="47">
        <f t="shared" si="2"/>
        <v>0</v>
      </c>
      <c r="I29" s="3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.6" customHeight="1">
      <c r="A30" s="66"/>
      <c r="B30" s="18"/>
      <c r="C30" s="57"/>
      <c r="D30" s="50"/>
      <c r="E30" s="58"/>
      <c r="F30" s="51"/>
      <c r="G30" s="51"/>
      <c r="H30" s="47"/>
      <c r="I30" s="3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.6" customHeight="1">
      <c r="A31" s="65" t="s">
        <v>26</v>
      </c>
      <c r="B31" s="20"/>
      <c r="C31" s="60">
        <v>0.0002</v>
      </c>
      <c r="D31" s="50">
        <f t="shared" si="0"/>
        <v>0</v>
      </c>
      <c r="E31" s="58">
        <v>0.02</v>
      </c>
      <c r="F31" s="51">
        <f t="shared" si="1"/>
        <v>0</v>
      </c>
      <c r="G31" s="51">
        <v>1</v>
      </c>
      <c r="H31" s="47">
        <f t="shared" si="2"/>
        <v>0</v>
      </c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9" ht="15.6" customHeight="1">
      <c r="A32" s="65" t="s">
        <v>34</v>
      </c>
      <c r="B32" s="20"/>
      <c r="C32" s="60">
        <v>0.0002</v>
      </c>
      <c r="D32" s="50">
        <f t="shared" si="0"/>
        <v>0</v>
      </c>
      <c r="E32" s="58">
        <v>0.02</v>
      </c>
      <c r="F32" s="51">
        <f t="shared" si="1"/>
        <v>0</v>
      </c>
      <c r="G32" s="51">
        <v>1</v>
      </c>
      <c r="H32" s="47">
        <f t="shared" si="2"/>
        <v>0</v>
      </c>
      <c r="I32" s="36"/>
    </row>
    <row r="33" spans="1:9" ht="15.6" customHeight="1">
      <c r="A33" s="65" t="s">
        <v>35</v>
      </c>
      <c r="B33" s="20"/>
      <c r="C33" s="60">
        <v>0.0002</v>
      </c>
      <c r="D33" s="50">
        <f t="shared" si="0"/>
        <v>0</v>
      </c>
      <c r="E33" s="58">
        <v>0.02</v>
      </c>
      <c r="F33" s="51">
        <f t="shared" si="1"/>
        <v>0</v>
      </c>
      <c r="G33" s="51">
        <v>1</v>
      </c>
      <c r="H33" s="47">
        <f t="shared" si="2"/>
        <v>0</v>
      </c>
      <c r="I33" s="36"/>
    </row>
    <row r="34" spans="1:9" ht="15.6" customHeight="1">
      <c r="A34" s="66" t="s">
        <v>23</v>
      </c>
      <c r="B34" s="18"/>
      <c r="C34" s="60">
        <v>0.0002</v>
      </c>
      <c r="D34" s="50">
        <f t="shared" si="0"/>
        <v>0</v>
      </c>
      <c r="E34" s="58">
        <v>0.02</v>
      </c>
      <c r="F34" s="51">
        <f t="shared" si="1"/>
        <v>0</v>
      </c>
      <c r="G34" s="51">
        <v>1</v>
      </c>
      <c r="H34" s="47">
        <f t="shared" si="2"/>
        <v>0</v>
      </c>
      <c r="I34" s="38"/>
    </row>
    <row r="35" spans="1:9" ht="15.6" customHeight="1">
      <c r="A35" s="66" t="s">
        <v>24</v>
      </c>
      <c r="B35" s="18"/>
      <c r="C35" s="60">
        <v>0.0002</v>
      </c>
      <c r="D35" s="50">
        <f t="shared" si="0"/>
        <v>0</v>
      </c>
      <c r="E35" s="58">
        <v>0.02</v>
      </c>
      <c r="F35" s="51">
        <f t="shared" si="1"/>
        <v>0</v>
      </c>
      <c r="G35" s="51">
        <v>1</v>
      </c>
      <c r="H35" s="47">
        <f t="shared" si="2"/>
        <v>0</v>
      </c>
      <c r="I35" s="38"/>
    </row>
    <row r="36" spans="1:9" ht="15.6" customHeight="1">
      <c r="A36" s="66" t="s">
        <v>25</v>
      </c>
      <c r="B36" s="18"/>
      <c r="C36" s="60">
        <v>0.0002</v>
      </c>
      <c r="D36" s="50">
        <f t="shared" si="0"/>
        <v>0</v>
      </c>
      <c r="E36" s="58">
        <v>0.02</v>
      </c>
      <c r="F36" s="51">
        <f t="shared" si="1"/>
        <v>0</v>
      </c>
      <c r="G36" s="51">
        <v>1</v>
      </c>
      <c r="H36" s="47">
        <f t="shared" si="2"/>
        <v>0</v>
      </c>
      <c r="I36" s="38"/>
    </row>
    <row r="37" spans="1:9" ht="15.6" customHeight="1">
      <c r="A37" s="68"/>
      <c r="B37" s="21"/>
      <c r="C37" s="57"/>
      <c r="D37" s="50"/>
      <c r="E37" s="58"/>
      <c r="F37" s="51"/>
      <c r="G37" s="51"/>
      <c r="H37" s="47"/>
      <c r="I37" s="38"/>
    </row>
    <row r="38" spans="1:9" ht="15.6" customHeight="1">
      <c r="A38" s="66" t="s">
        <v>171</v>
      </c>
      <c r="B38" s="18"/>
      <c r="C38" s="60">
        <v>0.0002</v>
      </c>
      <c r="D38" s="50">
        <f aca="true" t="shared" si="3" ref="D38">B38*C38</f>
        <v>0</v>
      </c>
      <c r="E38" s="59">
        <v>0.0095</v>
      </c>
      <c r="F38" s="51">
        <f aca="true" t="shared" si="4" ref="F38">B38*E38</f>
        <v>0</v>
      </c>
      <c r="G38" s="51">
        <v>2</v>
      </c>
      <c r="H38" s="47">
        <f aca="true" t="shared" si="5" ref="H38">B38*G38</f>
        <v>0</v>
      </c>
      <c r="I38" s="38"/>
    </row>
    <row r="39" spans="1:9" ht="15.6" customHeight="1">
      <c r="A39" s="66" t="s">
        <v>184</v>
      </c>
      <c r="B39" s="18"/>
      <c r="C39" s="60">
        <v>0.0002</v>
      </c>
      <c r="D39" s="50">
        <f t="shared" si="0"/>
        <v>0</v>
      </c>
      <c r="E39" s="59">
        <v>0.014</v>
      </c>
      <c r="F39" s="51">
        <f t="shared" si="1"/>
        <v>0</v>
      </c>
      <c r="G39" s="51">
        <v>2</v>
      </c>
      <c r="H39" s="47">
        <f t="shared" si="2"/>
        <v>0</v>
      </c>
      <c r="I39" s="38"/>
    </row>
    <row r="40" spans="1:9" ht="15.6" customHeight="1">
      <c r="A40" s="66" t="s">
        <v>172</v>
      </c>
      <c r="B40" s="18"/>
      <c r="C40" s="60">
        <v>0.0002</v>
      </c>
      <c r="D40" s="50">
        <f t="shared" si="0"/>
        <v>0</v>
      </c>
      <c r="E40" s="59">
        <v>0.0095</v>
      </c>
      <c r="F40" s="51">
        <f t="shared" si="1"/>
        <v>0</v>
      </c>
      <c r="G40" s="51">
        <v>2</v>
      </c>
      <c r="H40" s="47">
        <f t="shared" si="2"/>
        <v>0</v>
      </c>
      <c r="I40" s="38"/>
    </row>
    <row r="41" spans="1:9" ht="15.6" customHeight="1">
      <c r="A41" s="66" t="s">
        <v>183</v>
      </c>
      <c r="B41" s="18"/>
      <c r="C41" s="60">
        <v>0.0002</v>
      </c>
      <c r="D41" s="50">
        <f aca="true" t="shared" si="6" ref="D41">B41*C41</f>
        <v>0</v>
      </c>
      <c r="E41" s="59">
        <v>0.014</v>
      </c>
      <c r="F41" s="51">
        <f aca="true" t="shared" si="7" ref="F41">B41*E41</f>
        <v>0</v>
      </c>
      <c r="G41" s="51">
        <v>2</v>
      </c>
      <c r="H41" s="47">
        <f aca="true" t="shared" si="8" ref="H41">B41*G41</f>
        <v>0</v>
      </c>
      <c r="I41" s="38"/>
    </row>
    <row r="42" spans="1:9" ht="15.6" customHeight="1">
      <c r="A42" s="66" t="s">
        <v>16</v>
      </c>
      <c r="B42" s="18"/>
      <c r="C42" s="57">
        <v>0</v>
      </c>
      <c r="D42" s="50">
        <f t="shared" si="0"/>
        <v>0</v>
      </c>
      <c r="E42" s="59">
        <v>0.0062</v>
      </c>
      <c r="F42" s="51">
        <f t="shared" si="1"/>
        <v>0</v>
      </c>
      <c r="G42" s="51">
        <v>0</v>
      </c>
      <c r="H42" s="47">
        <f t="shared" si="2"/>
        <v>0</v>
      </c>
      <c r="I42" s="40"/>
    </row>
    <row r="43" spans="1:9" ht="15">
      <c r="A43" s="65" t="s">
        <v>39</v>
      </c>
      <c r="B43" s="17"/>
      <c r="C43" s="61">
        <v>0</v>
      </c>
      <c r="D43" s="53">
        <f t="shared" si="0"/>
        <v>0</v>
      </c>
      <c r="E43" s="47">
        <v>0.0062</v>
      </c>
      <c r="F43" s="54">
        <f t="shared" si="1"/>
        <v>0</v>
      </c>
      <c r="G43" s="54">
        <v>0</v>
      </c>
      <c r="H43" s="47">
        <f t="shared" si="2"/>
        <v>0</v>
      </c>
      <c r="I43" s="41"/>
    </row>
    <row r="44" spans="1:27" ht="15.6" customHeight="1">
      <c r="A44" s="67" t="s">
        <v>36</v>
      </c>
      <c r="B44" s="19"/>
      <c r="C44" s="62">
        <v>0.0001</v>
      </c>
      <c r="D44" s="50">
        <f t="shared" si="0"/>
        <v>0</v>
      </c>
      <c r="E44" s="50">
        <v>0.0002</v>
      </c>
      <c r="F44" s="51">
        <f t="shared" si="1"/>
        <v>0</v>
      </c>
      <c r="G44" s="51">
        <v>0</v>
      </c>
      <c r="H44" s="47">
        <f t="shared" si="2"/>
        <v>0</v>
      </c>
      <c r="I44" s="40"/>
      <c r="AA44" s="23"/>
    </row>
    <row r="45" spans="1:27" ht="15.6" customHeight="1">
      <c r="A45" s="66" t="s">
        <v>0</v>
      </c>
      <c r="B45" s="18"/>
      <c r="C45" s="57">
        <v>0.00046</v>
      </c>
      <c r="D45" s="50">
        <f t="shared" si="0"/>
        <v>0</v>
      </c>
      <c r="E45" s="59">
        <v>0.0045</v>
      </c>
      <c r="F45" s="51">
        <f t="shared" si="1"/>
        <v>0</v>
      </c>
      <c r="G45" s="51">
        <v>1</v>
      </c>
      <c r="H45" s="47">
        <f t="shared" si="2"/>
        <v>0</v>
      </c>
      <c r="I45" s="38"/>
      <c r="AA45" s="23"/>
    </row>
    <row r="46" spans="1:9" ht="15.6" customHeight="1">
      <c r="A46" s="66" t="s">
        <v>1</v>
      </c>
      <c r="B46" s="18"/>
      <c r="C46" s="57">
        <v>0.000505</v>
      </c>
      <c r="D46" s="50">
        <f t="shared" si="0"/>
        <v>0</v>
      </c>
      <c r="E46" s="58">
        <v>0.0005</v>
      </c>
      <c r="F46" s="51">
        <f t="shared" si="1"/>
        <v>0</v>
      </c>
      <c r="G46" s="51">
        <v>2</v>
      </c>
      <c r="H46" s="47">
        <f t="shared" si="2"/>
        <v>0</v>
      </c>
      <c r="I46" s="38"/>
    </row>
    <row r="47" spans="1:9" ht="15.6" customHeight="1">
      <c r="A47" s="66" t="s">
        <v>2</v>
      </c>
      <c r="B47" s="18"/>
      <c r="C47" s="57">
        <v>0.0003</v>
      </c>
      <c r="D47" s="50">
        <f t="shared" si="0"/>
        <v>0</v>
      </c>
      <c r="E47" s="59">
        <v>0.003</v>
      </c>
      <c r="F47" s="51">
        <f t="shared" si="1"/>
        <v>0</v>
      </c>
      <c r="G47" s="51">
        <v>2</v>
      </c>
      <c r="H47" s="47">
        <f t="shared" si="2"/>
        <v>0</v>
      </c>
      <c r="I47" s="38"/>
    </row>
    <row r="48" spans="1:9" ht="15.6" customHeight="1">
      <c r="A48" s="66" t="s">
        <v>3</v>
      </c>
      <c r="B48" s="18"/>
      <c r="C48" s="57">
        <v>0.00075</v>
      </c>
      <c r="D48" s="50">
        <f t="shared" si="0"/>
        <v>0</v>
      </c>
      <c r="E48" s="59">
        <v>0.0045</v>
      </c>
      <c r="F48" s="51">
        <f t="shared" si="1"/>
        <v>0</v>
      </c>
      <c r="G48" s="51">
        <v>1</v>
      </c>
      <c r="H48" s="47">
        <f t="shared" si="2"/>
        <v>0</v>
      </c>
      <c r="I48" s="38"/>
    </row>
    <row r="49" spans="1:9" ht="15.6" customHeight="1">
      <c r="A49" s="66" t="s">
        <v>4</v>
      </c>
      <c r="B49" s="18"/>
      <c r="C49" s="57">
        <v>0.00028</v>
      </c>
      <c r="D49" s="50">
        <f t="shared" si="0"/>
        <v>0</v>
      </c>
      <c r="E49" s="58">
        <v>0.0003</v>
      </c>
      <c r="F49" s="51">
        <f t="shared" si="1"/>
        <v>0</v>
      </c>
      <c r="G49" s="51">
        <v>2</v>
      </c>
      <c r="H49" s="47">
        <f t="shared" si="2"/>
        <v>0</v>
      </c>
      <c r="I49" s="39"/>
    </row>
    <row r="50" spans="1:9" ht="15.6" customHeight="1">
      <c r="A50" s="66" t="s">
        <v>5</v>
      </c>
      <c r="B50" s="18"/>
      <c r="C50" s="57">
        <v>0</v>
      </c>
      <c r="D50" s="50">
        <f t="shared" si="0"/>
        <v>0</v>
      </c>
      <c r="E50" s="58"/>
      <c r="F50" s="51">
        <f t="shared" si="1"/>
        <v>0</v>
      </c>
      <c r="G50" s="51">
        <v>0</v>
      </c>
      <c r="H50" s="47">
        <f t="shared" si="2"/>
        <v>0</v>
      </c>
      <c r="I50" s="39"/>
    </row>
    <row r="51" spans="1:9" ht="15.6" customHeight="1">
      <c r="A51" s="159" t="s">
        <v>182</v>
      </c>
      <c r="B51" s="18"/>
      <c r="C51" s="57">
        <v>0.00046</v>
      </c>
      <c r="D51" s="50">
        <f t="shared" si="0"/>
        <v>0</v>
      </c>
      <c r="E51" s="58">
        <v>0.00046</v>
      </c>
      <c r="F51" s="51">
        <f t="shared" si="1"/>
        <v>0</v>
      </c>
      <c r="G51" s="51">
        <v>1</v>
      </c>
      <c r="H51" s="51">
        <f t="shared" si="1"/>
        <v>0</v>
      </c>
      <c r="I51" s="39"/>
    </row>
    <row r="52" spans="1:27" ht="15">
      <c r="A52" s="65" t="s">
        <v>44</v>
      </c>
      <c r="B52" s="17"/>
      <c r="C52" s="61">
        <v>0.00072</v>
      </c>
      <c r="D52" s="53">
        <f t="shared" si="0"/>
        <v>0</v>
      </c>
      <c r="E52" s="47">
        <v>0.0055</v>
      </c>
      <c r="F52" s="54">
        <f t="shared" si="1"/>
        <v>0</v>
      </c>
      <c r="G52" s="54">
        <v>1</v>
      </c>
      <c r="H52" s="47">
        <f t="shared" si="2"/>
        <v>0</v>
      </c>
      <c r="I52" s="3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5">
      <c r="A53" s="65" t="s">
        <v>43</v>
      </c>
      <c r="B53" s="17"/>
      <c r="C53" s="61">
        <v>0.00072</v>
      </c>
      <c r="D53" s="53">
        <f t="shared" si="0"/>
        <v>0</v>
      </c>
      <c r="E53" s="47">
        <v>0.0055</v>
      </c>
      <c r="F53" s="54">
        <f t="shared" si="1"/>
        <v>0</v>
      </c>
      <c r="G53" s="54">
        <v>2</v>
      </c>
      <c r="H53" s="47">
        <f t="shared" si="2"/>
        <v>0</v>
      </c>
      <c r="I53" s="3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">
      <c r="A54" s="65" t="s">
        <v>41</v>
      </c>
      <c r="B54" s="17"/>
      <c r="C54" s="61">
        <v>0.00072</v>
      </c>
      <c r="D54" s="53">
        <f t="shared" si="0"/>
        <v>0</v>
      </c>
      <c r="E54" s="47">
        <v>0.0055</v>
      </c>
      <c r="F54" s="54">
        <f t="shared" si="1"/>
        <v>0</v>
      </c>
      <c r="G54" s="54">
        <v>3</v>
      </c>
      <c r="H54" s="47">
        <f t="shared" si="2"/>
        <v>0</v>
      </c>
      <c r="I54" s="3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5">
      <c r="A55" s="65" t="s">
        <v>42</v>
      </c>
      <c r="B55" s="17"/>
      <c r="C55" s="61">
        <v>0.00086</v>
      </c>
      <c r="D55" s="53">
        <f t="shared" si="0"/>
        <v>0</v>
      </c>
      <c r="E55" s="47">
        <v>0.0083</v>
      </c>
      <c r="F55" s="54">
        <f t="shared" si="1"/>
        <v>0</v>
      </c>
      <c r="G55" s="54">
        <v>6</v>
      </c>
      <c r="H55" s="47">
        <f t="shared" si="2"/>
        <v>0</v>
      </c>
      <c r="I55" s="3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">
      <c r="A56" s="65" t="s">
        <v>47</v>
      </c>
      <c r="B56" s="17"/>
      <c r="C56" s="61">
        <v>0.00063</v>
      </c>
      <c r="D56" s="53">
        <f t="shared" si="0"/>
        <v>0</v>
      </c>
      <c r="E56" s="47">
        <v>0.0078</v>
      </c>
      <c r="F56" s="54">
        <f t="shared" si="1"/>
        <v>0</v>
      </c>
      <c r="G56" s="54">
        <v>3</v>
      </c>
      <c r="H56" s="47">
        <f t="shared" si="2"/>
        <v>0</v>
      </c>
      <c r="I56" s="3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">
      <c r="A57" s="65" t="s">
        <v>45</v>
      </c>
      <c r="B57" s="17"/>
      <c r="C57" s="61">
        <v>0.00074</v>
      </c>
      <c r="D57" s="53">
        <f t="shared" si="0"/>
        <v>0</v>
      </c>
      <c r="E57" s="47">
        <v>0.0031</v>
      </c>
      <c r="F57" s="54">
        <f t="shared" si="1"/>
        <v>0</v>
      </c>
      <c r="G57" s="54">
        <v>2</v>
      </c>
      <c r="H57" s="47">
        <f t="shared" si="2"/>
        <v>0</v>
      </c>
      <c r="I57" s="3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5">
      <c r="A58" s="65" t="s">
        <v>48</v>
      </c>
      <c r="B58" s="17"/>
      <c r="C58" s="61">
        <v>0.015</v>
      </c>
      <c r="D58" s="53">
        <f t="shared" si="0"/>
        <v>0</v>
      </c>
      <c r="E58" s="47">
        <v>0.0035</v>
      </c>
      <c r="F58" s="54">
        <f t="shared" si="1"/>
        <v>0</v>
      </c>
      <c r="G58" s="54">
        <v>2</v>
      </c>
      <c r="H58" s="47">
        <f t="shared" si="2"/>
        <v>0</v>
      </c>
      <c r="I58" s="3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5">
      <c r="A59" s="65" t="s">
        <v>46</v>
      </c>
      <c r="B59" s="17"/>
      <c r="C59" s="61">
        <v>0.00069</v>
      </c>
      <c r="D59" s="53">
        <f t="shared" si="0"/>
        <v>0</v>
      </c>
      <c r="E59" s="47">
        <v>0.0033</v>
      </c>
      <c r="F59" s="54">
        <f t="shared" si="1"/>
        <v>0</v>
      </c>
      <c r="G59" s="54">
        <v>1</v>
      </c>
      <c r="H59" s="47">
        <f t="shared" si="2"/>
        <v>0</v>
      </c>
      <c r="I59" s="3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5.6" customHeight="1">
      <c r="A60" s="66"/>
      <c r="B60" s="18"/>
      <c r="C60" s="57"/>
      <c r="D60" s="50"/>
      <c r="E60" s="58"/>
      <c r="F60" s="51"/>
      <c r="G60" s="51"/>
      <c r="H60" s="47"/>
      <c r="I60" s="3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9" ht="15.6" customHeight="1">
      <c r="A61" s="66" t="s">
        <v>32</v>
      </c>
      <c r="B61" s="18"/>
      <c r="C61" s="57">
        <v>0.00046</v>
      </c>
      <c r="D61" s="50">
        <f aca="true" t="shared" si="9" ref="D61:D64">B61*C61</f>
        <v>0</v>
      </c>
      <c r="E61" s="58">
        <v>0.00046</v>
      </c>
      <c r="F61" s="51">
        <f aca="true" t="shared" si="10" ref="F61:F64">B61*E61</f>
        <v>0</v>
      </c>
      <c r="G61" s="51">
        <v>1</v>
      </c>
      <c r="H61" s="47">
        <f>B61*G61</f>
        <v>0</v>
      </c>
      <c r="I61" s="38"/>
    </row>
    <row r="62" spans="1:9" ht="15.6" customHeight="1">
      <c r="A62" s="66" t="s">
        <v>33</v>
      </c>
      <c r="B62" s="18"/>
      <c r="C62" s="57">
        <v>0.00092</v>
      </c>
      <c r="D62" s="50">
        <f t="shared" si="9"/>
        <v>0</v>
      </c>
      <c r="E62" s="58">
        <v>0.00092</v>
      </c>
      <c r="F62" s="51">
        <f t="shared" si="10"/>
        <v>0</v>
      </c>
      <c r="G62" s="51">
        <v>2</v>
      </c>
      <c r="H62" s="47">
        <f>B62*G62</f>
        <v>0</v>
      </c>
      <c r="I62" s="38"/>
    </row>
    <row r="63" spans="1:9" ht="15.6" customHeight="1">
      <c r="A63" s="66" t="s">
        <v>31</v>
      </c>
      <c r="B63" s="18"/>
      <c r="C63" s="57">
        <v>0.004</v>
      </c>
      <c r="D63" s="50">
        <f t="shared" si="9"/>
        <v>0</v>
      </c>
      <c r="E63" s="58">
        <v>0.004</v>
      </c>
      <c r="F63" s="51">
        <f t="shared" si="10"/>
        <v>0</v>
      </c>
      <c r="G63" s="51">
        <v>1</v>
      </c>
      <c r="H63" s="47">
        <f>B63*G63</f>
        <v>0</v>
      </c>
      <c r="I63" s="38"/>
    </row>
    <row r="64" spans="1:9" ht="15.6" customHeight="1">
      <c r="A64" s="66" t="s">
        <v>56</v>
      </c>
      <c r="B64" s="18"/>
      <c r="C64" s="57">
        <v>0</v>
      </c>
      <c r="D64" s="50">
        <f t="shared" si="9"/>
        <v>0</v>
      </c>
      <c r="E64" s="58">
        <v>0.002</v>
      </c>
      <c r="F64" s="51">
        <f t="shared" si="10"/>
        <v>0</v>
      </c>
      <c r="G64" s="51">
        <v>0</v>
      </c>
      <c r="H64" s="47">
        <f>B64*G64</f>
        <v>0</v>
      </c>
      <c r="I64" s="38"/>
    </row>
    <row r="65" spans="1:9" ht="15.6" customHeight="1">
      <c r="A65" s="66"/>
      <c r="B65" s="18"/>
      <c r="C65" s="57"/>
      <c r="D65" s="58"/>
      <c r="E65" s="58"/>
      <c r="F65" s="58"/>
      <c r="G65" s="58"/>
      <c r="H65" s="58"/>
      <c r="I65" s="38"/>
    </row>
    <row r="66" spans="1:9" ht="15.6" customHeight="1">
      <c r="A66" s="66" t="s">
        <v>57</v>
      </c>
      <c r="B66" s="18">
        <f>SUM(B6:B14,B21:B27,B28:B36,B39:B63)</f>
        <v>0</v>
      </c>
      <c r="C66" s="175" t="s">
        <v>58</v>
      </c>
      <c r="D66" s="58">
        <f>SUM(D6:D65)</f>
        <v>0</v>
      </c>
      <c r="E66" s="176" t="s">
        <v>59</v>
      </c>
      <c r="F66" s="58">
        <f>SUM(F5:F65)</f>
        <v>0.04</v>
      </c>
      <c r="G66" s="176" t="s">
        <v>88</v>
      </c>
      <c r="H66" s="58">
        <f>SUM(H6:H64)</f>
        <v>0</v>
      </c>
      <c r="I66" s="40"/>
    </row>
    <row r="67" spans="1:9" ht="16.2" thickBot="1">
      <c r="A67" s="42"/>
      <c r="B67" s="22"/>
      <c r="C67" s="22"/>
      <c r="D67" s="22"/>
      <c r="E67" s="22"/>
      <c r="F67" s="22"/>
      <c r="G67" s="22"/>
      <c r="H67" s="22"/>
      <c r="I67" s="42"/>
    </row>
    <row r="68" spans="3:8" ht="16.8" thickBot="1" thickTop="1">
      <c r="C68" s="23"/>
      <c r="D68" s="23"/>
      <c r="E68" s="23"/>
      <c r="F68" s="71" t="str">
        <f>IF(F66&lt;0.4,"Load ok","above 80% load")</f>
        <v>Load ok</v>
      </c>
      <c r="G68" s="23"/>
      <c r="H68" s="23"/>
    </row>
    <row r="69" spans="1:8" ht="16.8" thickBot="1" thickTop="1">
      <c r="A69" s="26" t="s">
        <v>68</v>
      </c>
      <c r="C69" s="23" t="s">
        <v>89</v>
      </c>
      <c r="D69" s="23"/>
      <c r="E69" s="23"/>
      <c r="F69" s="23"/>
      <c r="G69" s="23"/>
      <c r="H69" s="23"/>
    </row>
    <row r="70" spans="1:3" ht="16.5" thickBot="1">
      <c r="A70" s="24" t="s">
        <v>76</v>
      </c>
      <c r="C70" s="70">
        <f>VLOOKUP(A70,Sheet2!A:B,2,FALSE)</f>
        <v>12.1</v>
      </c>
    </row>
    <row r="71" ht="16.5" thickBot="1">
      <c r="A71" s="26" t="s">
        <v>175</v>
      </c>
    </row>
    <row r="72" ht="16.5" thickBot="1">
      <c r="A72" s="24">
        <v>1000</v>
      </c>
    </row>
    <row r="73" ht="16.5" thickBot="1">
      <c r="A73" s="26" t="s">
        <v>90</v>
      </c>
    </row>
    <row r="74" spans="1:3" ht="17.25" thickBot="1" thickTop="1">
      <c r="A74" s="69">
        <f>PRODUCT((A72*(C70/1000)*2)*F66)</f>
        <v>0.968</v>
      </c>
      <c r="C74" s="71" t="str">
        <f>IF(A74&lt;8,"Loop ok","Loop not ok")</f>
        <v>Loop ok</v>
      </c>
    </row>
    <row r="75" ht="16.5" thickBot="1">
      <c r="A75" s="70" t="s">
        <v>174</v>
      </c>
    </row>
    <row r="76" ht="16.2" thickBot="1">
      <c r="A76" s="73">
        <f>MIN(2000,(PRODUCT((8/(F66)/((C70/1000)*2)))))</f>
        <v>2000</v>
      </c>
    </row>
  </sheetData>
  <sheetProtection algorithmName="SHA-512" hashValue="PfRoBxPD+BHiaev0IKi05nzKWEKvxBxxh1Fvd8vDZc1gqrXCgS+hrFAW06/4Aq6jH3mtnV5Sr9cjC2l+GMUy5A==" saltValue="vHE/86ibOzbKUaR0WHy/lQ==" spinCount="100000" sheet="1" objects="1" scenarios="1" selectLockedCells="1"/>
  <conditionalFormatting sqref="C74">
    <cfRule type="cellIs" priority="5" dxfId="4" operator="lessThan" stopIfTrue="1">
      <formula>11</formula>
    </cfRule>
  </conditionalFormatting>
  <conditionalFormatting sqref="A74">
    <cfRule type="cellIs" priority="3" dxfId="1" operator="lessThan" stopIfTrue="1">
      <formula>8</formula>
    </cfRule>
    <cfRule type="cellIs" priority="4" dxfId="0" operator="greaterThan" stopIfTrue="1">
      <formula>8</formula>
    </cfRule>
  </conditionalFormatting>
  <conditionalFormatting sqref="F66">
    <cfRule type="cellIs" priority="1" dxfId="1" operator="lessThan">
      <formula>0.4</formula>
    </cfRule>
    <cfRule type="cellIs" priority="2" dxfId="0" operator="greaterThan">
      <formula>0.4</formula>
    </cfRule>
  </conditionalFormatting>
  <dataValidations count="1">
    <dataValidation type="list" allowBlank="1" showInputMessage="1" showErrorMessage="1" sqref="A70">
      <formula1>Sheet2!$A$6:$A$22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 topLeftCell="A1">
      <selection activeCell="A1" sqref="A1:XFD1048576"/>
    </sheetView>
  </sheetViews>
  <sheetFormatPr defaultColWidth="9.140625" defaultRowHeight="15"/>
  <cols>
    <col min="1" max="1" width="32.7109375" style="72" customWidth="1"/>
    <col min="2" max="2" width="20.57421875" style="72" customWidth="1"/>
    <col min="3" max="3" width="21.28125" style="72" customWidth="1"/>
    <col min="4" max="4" width="25.28125" style="72" customWidth="1"/>
    <col min="5" max="16384" width="8.8515625" style="72" customWidth="1"/>
  </cols>
  <sheetData>
    <row r="3" ht="15">
      <c r="A3" s="72" t="s">
        <v>60</v>
      </c>
    </row>
    <row r="4" spans="2:4" ht="15">
      <c r="B4" s="72" t="s">
        <v>65</v>
      </c>
      <c r="C4" s="72" t="s">
        <v>66</v>
      </c>
      <c r="D4" s="72" t="s">
        <v>67</v>
      </c>
    </row>
    <row r="5" spans="1:4" ht="15">
      <c r="A5" s="72" t="s">
        <v>61</v>
      </c>
      <c r="B5" s="72" t="s">
        <v>62</v>
      </c>
      <c r="C5" s="72" t="s">
        <v>63</v>
      </c>
      <c r="D5" s="72" t="s">
        <v>64</v>
      </c>
    </row>
    <row r="6" spans="1:4" ht="15">
      <c r="A6" s="72" t="s">
        <v>69</v>
      </c>
      <c r="B6" s="72">
        <v>19</v>
      </c>
      <c r="C6" s="72">
        <v>0.475</v>
      </c>
      <c r="D6" s="72">
        <v>0.175</v>
      </c>
    </row>
    <row r="7" spans="1:4" ht="15">
      <c r="A7" s="72" t="s">
        <v>70</v>
      </c>
      <c r="B7" s="72">
        <v>12.5</v>
      </c>
      <c r="C7" s="72">
        <v>0.5</v>
      </c>
      <c r="D7" s="72">
        <v>0.205</v>
      </c>
    </row>
    <row r="8" spans="1:4" ht="15">
      <c r="A8" s="72" t="s">
        <v>71</v>
      </c>
      <c r="B8" s="72">
        <v>7.5</v>
      </c>
      <c r="C8" s="72">
        <v>0.375</v>
      </c>
      <c r="D8" s="72">
        <v>0.24</v>
      </c>
    </row>
    <row r="9" spans="1:4" ht="15">
      <c r="A9" s="72" t="s">
        <v>72</v>
      </c>
      <c r="B9" s="72">
        <v>16.1</v>
      </c>
      <c r="C9" s="72">
        <v>0.403</v>
      </c>
      <c r="D9" s="72">
        <v>0.175</v>
      </c>
    </row>
    <row r="10" spans="1:4" ht="15">
      <c r="A10" s="72" t="s">
        <v>73</v>
      </c>
      <c r="B10" s="72">
        <v>12.1</v>
      </c>
      <c r="C10" s="72">
        <v>0.484</v>
      </c>
      <c r="D10" s="72">
        <v>0.205</v>
      </c>
    </row>
    <row r="11" spans="1:4" ht="15">
      <c r="A11" s="72" t="s">
        <v>74</v>
      </c>
      <c r="B11" s="72">
        <v>7.4</v>
      </c>
      <c r="C11" s="72">
        <v>0.371</v>
      </c>
      <c r="D11" s="72">
        <v>0.24</v>
      </c>
    </row>
    <row r="12" spans="1:4" ht="15">
      <c r="A12" s="72" t="s">
        <v>75</v>
      </c>
      <c r="B12" s="72">
        <v>16.1</v>
      </c>
      <c r="C12" s="72">
        <v>0.72</v>
      </c>
      <c r="D12" s="72">
        <v>0.15</v>
      </c>
    </row>
    <row r="13" spans="1:4" ht="15">
      <c r="A13" s="72" t="s">
        <v>76</v>
      </c>
      <c r="B13" s="72">
        <v>12.1</v>
      </c>
      <c r="C13" s="72">
        <v>0.68</v>
      </c>
      <c r="D13" s="72">
        <v>0.17</v>
      </c>
    </row>
    <row r="14" spans="1:4" ht="15">
      <c r="A14" s="72" t="s">
        <v>77</v>
      </c>
      <c r="B14" s="72">
        <v>7.4</v>
      </c>
      <c r="C14" s="72">
        <v>0.62</v>
      </c>
      <c r="D14" s="72">
        <v>0.21</v>
      </c>
    </row>
    <row r="15" spans="1:4" ht="15">
      <c r="A15" s="72" t="s">
        <v>78</v>
      </c>
      <c r="B15" s="72">
        <v>17.2</v>
      </c>
      <c r="C15" s="72">
        <v>0.56</v>
      </c>
      <c r="D15" s="72">
        <v>0.18</v>
      </c>
    </row>
    <row r="16" spans="1:4" ht="15">
      <c r="A16" s="72" t="s">
        <v>79</v>
      </c>
      <c r="B16" s="72">
        <v>11.5</v>
      </c>
      <c r="C16" s="72">
        <v>0.534</v>
      </c>
      <c r="D16" s="72">
        <v>0.19</v>
      </c>
    </row>
    <row r="17" spans="1:4" ht="15">
      <c r="A17" s="72" t="s">
        <v>80</v>
      </c>
      <c r="B17" s="72">
        <v>6.9</v>
      </c>
      <c r="C17" s="72">
        <v>0.52</v>
      </c>
      <c r="D17" s="72">
        <v>0.22</v>
      </c>
    </row>
    <row r="18" spans="1:4" ht="15">
      <c r="A18" s="72" t="s">
        <v>81</v>
      </c>
      <c r="B18" s="72">
        <v>8.8</v>
      </c>
      <c r="C18" s="72">
        <v>0.68</v>
      </c>
      <c r="D18" s="72">
        <v>0.15</v>
      </c>
    </row>
    <row r="19" spans="1:4" ht="15">
      <c r="A19" s="72" t="s">
        <v>82</v>
      </c>
      <c r="B19" s="72">
        <v>12.1</v>
      </c>
      <c r="C19" s="72">
        <v>0.297</v>
      </c>
      <c r="D19" s="72">
        <v>0.13</v>
      </c>
    </row>
    <row r="20" spans="1:4" ht="15">
      <c r="A20" s="72" t="s">
        <v>83</v>
      </c>
      <c r="B20" s="72">
        <v>7.41</v>
      </c>
      <c r="C20" s="72">
        <v>0.26</v>
      </c>
      <c r="D20" s="72">
        <v>0.145</v>
      </c>
    </row>
    <row r="21" spans="1:4" ht="15">
      <c r="A21" s="72" t="s">
        <v>84</v>
      </c>
      <c r="B21" s="72">
        <v>12.1</v>
      </c>
      <c r="C21" s="72">
        <v>0.38</v>
      </c>
      <c r="D21" s="72">
        <v>0.125</v>
      </c>
    </row>
    <row r="22" spans="1:4" ht="15">
      <c r="A22" s="72" t="s">
        <v>85</v>
      </c>
      <c r="B22" s="72">
        <v>7.41</v>
      </c>
      <c r="C22" s="72">
        <v>0.28</v>
      </c>
      <c r="D22" s="72">
        <v>0.155</v>
      </c>
    </row>
  </sheetData>
  <sheetProtection algorithmName="SHA-512" hashValue="i7ZEsCneJTpZySZMYAXXyecGqiDHzxD9R3sehAQBwYR07RoDFLkGCEjWeRkDswNA5ZGhHyHl4EAhCTnQUdrC4g==" saltValue="496RZPcZFtWKdqIhq1gGjw==" spinCount="100000" sheet="1" objects="1" scenarios="1"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Walford</dc:creator>
  <cp:keywords/>
  <dc:description/>
  <cp:lastModifiedBy>Mark Durbridge</cp:lastModifiedBy>
  <cp:lastPrinted>2019-08-01T08:19:45Z</cp:lastPrinted>
  <dcterms:created xsi:type="dcterms:W3CDTF">2010-02-01T15:18:33Z</dcterms:created>
  <dcterms:modified xsi:type="dcterms:W3CDTF">2019-09-03T14:51:26Z</dcterms:modified>
  <cp:category/>
  <cp:version/>
  <cp:contentType/>
  <cp:contentStatus/>
</cp:coreProperties>
</file>