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ttancouk-my.sharepoint.com/personal/mdurbridge_nittan_co_uk/Documents/Documents/current loop calc/"/>
    </mc:Choice>
  </mc:AlternateContent>
  <xr:revisionPtr revIDLastSave="922" documentId="8_{E841CE79-5D07-490A-9841-9CDE0B8F3AE0}" xr6:coauthVersionLast="47" xr6:coauthVersionMax="47" xr10:uidLastSave="{F4989925-94D3-43EA-A66E-C5EE416694BF}"/>
  <bookViews>
    <workbookView xWindow="31035" yWindow="1530" windowWidth="23175" windowHeight="11400" activeTab="4" xr2:uid="{00000000-000D-0000-FFFF-FFFF00000000}"/>
  </bookViews>
  <sheets>
    <sheet name="Battery Calculations" sheetId="4" r:id="rId1"/>
    <sheet name="Loop 1" sheetId="5" r:id="rId2"/>
    <sheet name="Loop 2" sheetId="8" r:id="rId3"/>
    <sheet name="Loop 3" sheetId="9" r:id="rId4"/>
    <sheet name="Loop 4" sheetId="10" r:id="rId5"/>
    <sheet name="Sheet2" sheetId="2" state="hidden" r:id="rId6"/>
  </sheets>
  <definedNames>
    <definedName name="_xlnm._FilterDatabase" localSheetId="1" hidden="1">'Loop 1'!$A$80</definedName>
    <definedName name="_xlnm._FilterDatabase" localSheetId="2" hidden="1">'Loop 2'!$A$80</definedName>
    <definedName name="_xlnm._FilterDatabase" localSheetId="3" hidden="1">'Loop 3'!$A$80</definedName>
    <definedName name="_xlnm._FilterDatabase" localSheetId="4" hidden="1">'Loop 4'!$A$80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0" l="1"/>
  <c r="D74" i="9"/>
  <c r="D74" i="8"/>
  <c r="D74" i="5"/>
  <c r="F68" i="10"/>
  <c r="D68" i="10"/>
  <c r="F67" i="10"/>
  <c r="D67" i="10"/>
  <c r="F66" i="10"/>
  <c r="D66" i="10"/>
  <c r="F68" i="9"/>
  <c r="D68" i="9"/>
  <c r="F67" i="9"/>
  <c r="D67" i="9"/>
  <c r="F66" i="9"/>
  <c r="D66" i="9"/>
  <c r="F68" i="8"/>
  <c r="D68" i="8"/>
  <c r="F67" i="8"/>
  <c r="D67" i="8"/>
  <c r="F66" i="8"/>
  <c r="D66" i="8"/>
  <c r="B77" i="10"/>
  <c r="B77" i="9"/>
  <c r="B77" i="8"/>
  <c r="F68" i="5"/>
  <c r="B77" i="5"/>
  <c r="H67" i="10" l="1"/>
  <c r="H66" i="10"/>
  <c r="H65" i="10"/>
  <c r="H64" i="10"/>
  <c r="H63" i="10"/>
  <c r="H62" i="10"/>
  <c r="H61" i="10"/>
  <c r="H60" i="10"/>
  <c r="H59" i="10"/>
  <c r="H58" i="10"/>
  <c r="H57" i="10"/>
  <c r="H56" i="10"/>
  <c r="H67" i="9"/>
  <c r="H66" i="9"/>
  <c r="H65" i="9"/>
  <c r="H64" i="9"/>
  <c r="H63" i="9"/>
  <c r="H62" i="9"/>
  <c r="H61" i="9"/>
  <c r="H60" i="9"/>
  <c r="H59" i="9"/>
  <c r="H58" i="9"/>
  <c r="H57" i="9"/>
  <c r="H56" i="9"/>
  <c r="H67" i="8"/>
  <c r="H66" i="8"/>
  <c r="H65" i="8"/>
  <c r="H64" i="8"/>
  <c r="H63" i="8"/>
  <c r="H62" i="8"/>
  <c r="H61" i="8"/>
  <c r="H60" i="8"/>
  <c r="H59" i="8"/>
  <c r="H58" i="8"/>
  <c r="H57" i="8"/>
  <c r="H56" i="8"/>
  <c r="H67" i="5"/>
  <c r="H59" i="5"/>
  <c r="H58" i="5"/>
  <c r="H57" i="5"/>
  <c r="H56" i="5"/>
  <c r="J74" i="10"/>
  <c r="H74" i="10"/>
  <c r="F74" i="10"/>
  <c r="J74" i="9"/>
  <c r="H74" i="9"/>
  <c r="F74" i="9"/>
  <c r="J74" i="8"/>
  <c r="H74" i="8"/>
  <c r="F74" i="8"/>
  <c r="J74" i="5"/>
  <c r="H74" i="5"/>
  <c r="F74" i="5"/>
  <c r="H21" i="9" l="1"/>
  <c r="H21" i="8"/>
  <c r="F21" i="8"/>
  <c r="D21" i="8"/>
  <c r="H21" i="5"/>
  <c r="F21" i="5"/>
  <c r="D21" i="5"/>
  <c r="C11" i="4"/>
  <c r="T15" i="4" l="1"/>
  <c r="T13" i="4"/>
  <c r="T11" i="4"/>
  <c r="T9" i="4"/>
  <c r="C81" i="10"/>
  <c r="C79" i="10"/>
  <c r="V15" i="4"/>
  <c r="H75" i="10"/>
  <c r="F75" i="10"/>
  <c r="D75" i="10"/>
  <c r="H73" i="10"/>
  <c r="F73" i="10"/>
  <c r="D73" i="10"/>
  <c r="H72" i="10"/>
  <c r="F72" i="10"/>
  <c r="D72" i="10"/>
  <c r="H71" i="10"/>
  <c r="F71" i="10"/>
  <c r="D71" i="10"/>
  <c r="J69" i="10"/>
  <c r="H69" i="10"/>
  <c r="F69" i="10"/>
  <c r="D69" i="10"/>
  <c r="J67" i="10"/>
  <c r="J66" i="10"/>
  <c r="J65" i="10"/>
  <c r="F65" i="10"/>
  <c r="D65" i="10"/>
  <c r="J64" i="10"/>
  <c r="F64" i="10"/>
  <c r="D64" i="10"/>
  <c r="J63" i="10"/>
  <c r="F63" i="10"/>
  <c r="D63" i="10"/>
  <c r="J62" i="10"/>
  <c r="F62" i="10"/>
  <c r="D62" i="10"/>
  <c r="F61" i="10"/>
  <c r="D61" i="10"/>
  <c r="F60" i="10"/>
  <c r="D60" i="10"/>
  <c r="F59" i="10"/>
  <c r="D59" i="10"/>
  <c r="F58" i="10"/>
  <c r="D58" i="10"/>
  <c r="F57" i="10"/>
  <c r="D57" i="10"/>
  <c r="F56" i="10"/>
  <c r="D56" i="10"/>
  <c r="H55" i="10"/>
  <c r="F55" i="10"/>
  <c r="D55" i="10"/>
  <c r="H54" i="10"/>
  <c r="F54" i="10"/>
  <c r="D54" i="10"/>
  <c r="H53" i="10"/>
  <c r="F53" i="10"/>
  <c r="D53" i="10"/>
  <c r="H52" i="10"/>
  <c r="F52" i="10"/>
  <c r="D52" i="10"/>
  <c r="H50" i="10"/>
  <c r="F50" i="10"/>
  <c r="D50" i="10"/>
  <c r="H49" i="10"/>
  <c r="F49" i="10"/>
  <c r="H48" i="10"/>
  <c r="F48" i="10"/>
  <c r="D48" i="10"/>
  <c r="H47" i="10"/>
  <c r="F47" i="10"/>
  <c r="D47" i="10"/>
  <c r="H46" i="10"/>
  <c r="F46" i="10"/>
  <c r="D46" i="10"/>
  <c r="H45" i="10"/>
  <c r="F45" i="10"/>
  <c r="D45" i="10"/>
  <c r="H44" i="10"/>
  <c r="F44" i="10"/>
  <c r="D44" i="10"/>
  <c r="H42" i="10"/>
  <c r="F42" i="10"/>
  <c r="D42" i="10"/>
  <c r="H41" i="10"/>
  <c r="F41" i="10"/>
  <c r="D41" i="10"/>
  <c r="H40" i="10"/>
  <c r="F40" i="10"/>
  <c r="D40" i="10"/>
  <c r="J39" i="10"/>
  <c r="H39" i="10"/>
  <c r="F39" i="10"/>
  <c r="D39" i="10"/>
  <c r="J38" i="10"/>
  <c r="H38" i="10"/>
  <c r="F38" i="10"/>
  <c r="D38" i="10"/>
  <c r="J37" i="10"/>
  <c r="H37" i="10"/>
  <c r="F37" i="10"/>
  <c r="D37" i="10"/>
  <c r="H35" i="10"/>
  <c r="F35" i="10"/>
  <c r="D35" i="10"/>
  <c r="H34" i="10"/>
  <c r="F34" i="10"/>
  <c r="D34" i="10"/>
  <c r="J32" i="10"/>
  <c r="H32" i="10"/>
  <c r="F32" i="10"/>
  <c r="D32" i="10"/>
  <c r="J31" i="10"/>
  <c r="H31" i="10"/>
  <c r="F31" i="10"/>
  <c r="D31" i="10"/>
  <c r="H30" i="10"/>
  <c r="F30" i="10"/>
  <c r="D30" i="10"/>
  <c r="H29" i="10"/>
  <c r="F29" i="10"/>
  <c r="D29" i="10"/>
  <c r="H28" i="10"/>
  <c r="F28" i="10"/>
  <c r="D28" i="10"/>
  <c r="H27" i="10"/>
  <c r="F27" i="10"/>
  <c r="D27" i="10"/>
  <c r="J25" i="10"/>
  <c r="H25" i="10"/>
  <c r="F25" i="10"/>
  <c r="D25" i="10"/>
  <c r="J24" i="10"/>
  <c r="H24" i="10"/>
  <c r="F24" i="10"/>
  <c r="D24" i="10"/>
  <c r="J23" i="10"/>
  <c r="H23" i="10"/>
  <c r="F23" i="10"/>
  <c r="D23" i="10"/>
  <c r="H22" i="10"/>
  <c r="F22" i="10"/>
  <c r="D22" i="10"/>
  <c r="H20" i="10"/>
  <c r="F20" i="10"/>
  <c r="D20" i="10"/>
  <c r="H18" i="10"/>
  <c r="F18" i="10"/>
  <c r="D18" i="10"/>
  <c r="H17" i="10"/>
  <c r="F17" i="10"/>
  <c r="D17" i="10"/>
  <c r="H16" i="10"/>
  <c r="F16" i="10"/>
  <c r="D16" i="10"/>
  <c r="H15" i="10"/>
  <c r="F15" i="10"/>
  <c r="D15" i="10"/>
  <c r="J14" i="10"/>
  <c r="H14" i="10"/>
  <c r="F14" i="10"/>
  <c r="D14" i="10"/>
  <c r="H13" i="10"/>
  <c r="F13" i="10"/>
  <c r="D13" i="10"/>
  <c r="J12" i="10"/>
  <c r="H12" i="10"/>
  <c r="F12" i="10"/>
  <c r="D12" i="10"/>
  <c r="H11" i="10"/>
  <c r="F11" i="10"/>
  <c r="D11" i="10"/>
  <c r="H10" i="10"/>
  <c r="F10" i="10"/>
  <c r="D10" i="10"/>
  <c r="H9" i="10"/>
  <c r="F9" i="10"/>
  <c r="D9" i="10"/>
  <c r="J8" i="10"/>
  <c r="H8" i="10"/>
  <c r="F8" i="10"/>
  <c r="D8" i="10"/>
  <c r="H7" i="10"/>
  <c r="F7" i="10"/>
  <c r="D7" i="10"/>
  <c r="F5" i="10"/>
  <c r="D5" i="10"/>
  <c r="C81" i="9"/>
  <c r="C79" i="9"/>
  <c r="V13" i="4"/>
  <c r="H75" i="9"/>
  <c r="F75" i="9"/>
  <c r="D75" i="9"/>
  <c r="H73" i="9"/>
  <c r="F73" i="9"/>
  <c r="D73" i="9"/>
  <c r="H72" i="9"/>
  <c r="F72" i="9"/>
  <c r="D72" i="9"/>
  <c r="H71" i="9"/>
  <c r="F71" i="9"/>
  <c r="D71" i="9"/>
  <c r="J69" i="9"/>
  <c r="H69" i="9"/>
  <c r="F69" i="9"/>
  <c r="D69" i="9"/>
  <c r="J67" i="9"/>
  <c r="J66" i="9"/>
  <c r="J65" i="9"/>
  <c r="F65" i="9"/>
  <c r="D65" i="9"/>
  <c r="J64" i="9"/>
  <c r="F64" i="9"/>
  <c r="D64" i="9"/>
  <c r="J63" i="9"/>
  <c r="F63" i="9"/>
  <c r="D63" i="9"/>
  <c r="J62" i="9"/>
  <c r="F62" i="9"/>
  <c r="D62" i="9"/>
  <c r="F61" i="9"/>
  <c r="D61" i="9"/>
  <c r="F60" i="9"/>
  <c r="D60" i="9"/>
  <c r="F59" i="9"/>
  <c r="D59" i="9"/>
  <c r="F58" i="9"/>
  <c r="D58" i="9"/>
  <c r="F57" i="9"/>
  <c r="D57" i="9"/>
  <c r="F56" i="9"/>
  <c r="D56" i="9"/>
  <c r="H55" i="9"/>
  <c r="F55" i="9"/>
  <c r="D55" i="9"/>
  <c r="H54" i="9"/>
  <c r="F54" i="9"/>
  <c r="D54" i="9"/>
  <c r="H53" i="9"/>
  <c r="F53" i="9"/>
  <c r="D53" i="9"/>
  <c r="H52" i="9"/>
  <c r="F52" i="9"/>
  <c r="D52" i="9"/>
  <c r="H50" i="9"/>
  <c r="F50" i="9"/>
  <c r="D50" i="9"/>
  <c r="H49" i="9"/>
  <c r="F49" i="9"/>
  <c r="H48" i="9"/>
  <c r="F48" i="9"/>
  <c r="D48" i="9"/>
  <c r="H47" i="9"/>
  <c r="F47" i="9"/>
  <c r="D47" i="9"/>
  <c r="H46" i="9"/>
  <c r="F46" i="9"/>
  <c r="D46" i="9"/>
  <c r="H45" i="9"/>
  <c r="F45" i="9"/>
  <c r="D45" i="9"/>
  <c r="H44" i="9"/>
  <c r="F44" i="9"/>
  <c r="D44" i="9"/>
  <c r="H42" i="9"/>
  <c r="F42" i="9"/>
  <c r="D42" i="9"/>
  <c r="H41" i="9"/>
  <c r="F41" i="9"/>
  <c r="D41" i="9"/>
  <c r="H40" i="9"/>
  <c r="F40" i="9"/>
  <c r="D40" i="9"/>
  <c r="J39" i="9"/>
  <c r="H39" i="9"/>
  <c r="F39" i="9"/>
  <c r="D39" i="9"/>
  <c r="J38" i="9"/>
  <c r="H38" i="9"/>
  <c r="F38" i="9"/>
  <c r="D38" i="9"/>
  <c r="J37" i="9"/>
  <c r="H37" i="9"/>
  <c r="F37" i="9"/>
  <c r="D37" i="9"/>
  <c r="H35" i="9"/>
  <c r="F35" i="9"/>
  <c r="D35" i="9"/>
  <c r="H34" i="9"/>
  <c r="F34" i="9"/>
  <c r="D34" i="9"/>
  <c r="J32" i="9"/>
  <c r="H32" i="9"/>
  <c r="F32" i="9"/>
  <c r="D32" i="9"/>
  <c r="J31" i="9"/>
  <c r="H31" i="9"/>
  <c r="F31" i="9"/>
  <c r="D31" i="9"/>
  <c r="H30" i="9"/>
  <c r="F30" i="9"/>
  <c r="D30" i="9"/>
  <c r="H29" i="9"/>
  <c r="F29" i="9"/>
  <c r="D29" i="9"/>
  <c r="H28" i="9"/>
  <c r="F28" i="9"/>
  <c r="D28" i="9"/>
  <c r="H27" i="9"/>
  <c r="F27" i="9"/>
  <c r="D27" i="9"/>
  <c r="J25" i="9"/>
  <c r="H25" i="9"/>
  <c r="F25" i="9"/>
  <c r="D25" i="9"/>
  <c r="J24" i="9"/>
  <c r="H24" i="9"/>
  <c r="F24" i="9"/>
  <c r="D24" i="9"/>
  <c r="J23" i="9"/>
  <c r="H23" i="9"/>
  <c r="F23" i="9"/>
  <c r="D23" i="9"/>
  <c r="H22" i="9"/>
  <c r="F22" i="9"/>
  <c r="D22" i="9"/>
  <c r="H20" i="9"/>
  <c r="F20" i="9"/>
  <c r="D20" i="9"/>
  <c r="H18" i="9"/>
  <c r="F18" i="9"/>
  <c r="D18" i="9"/>
  <c r="H17" i="9"/>
  <c r="F17" i="9"/>
  <c r="D17" i="9"/>
  <c r="H16" i="9"/>
  <c r="F16" i="9"/>
  <c r="D16" i="9"/>
  <c r="H15" i="9"/>
  <c r="F15" i="9"/>
  <c r="D15" i="9"/>
  <c r="J14" i="9"/>
  <c r="H14" i="9"/>
  <c r="F14" i="9"/>
  <c r="D14" i="9"/>
  <c r="H13" i="9"/>
  <c r="F13" i="9"/>
  <c r="D13" i="9"/>
  <c r="J12" i="9"/>
  <c r="H12" i="9"/>
  <c r="F12" i="9"/>
  <c r="D12" i="9"/>
  <c r="H11" i="9"/>
  <c r="F11" i="9"/>
  <c r="D11" i="9"/>
  <c r="H10" i="9"/>
  <c r="F10" i="9"/>
  <c r="D10" i="9"/>
  <c r="H9" i="9"/>
  <c r="F9" i="9"/>
  <c r="D9" i="9"/>
  <c r="J8" i="9"/>
  <c r="H8" i="9"/>
  <c r="F8" i="9"/>
  <c r="D8" i="9"/>
  <c r="H7" i="9"/>
  <c r="F7" i="9"/>
  <c r="D7" i="9"/>
  <c r="F5" i="9"/>
  <c r="D5" i="9"/>
  <c r="C81" i="8"/>
  <c r="C79" i="8"/>
  <c r="V11" i="4"/>
  <c r="H75" i="8"/>
  <c r="F75" i="8"/>
  <c r="D75" i="8"/>
  <c r="H73" i="8"/>
  <c r="F73" i="8"/>
  <c r="D73" i="8"/>
  <c r="H72" i="8"/>
  <c r="F72" i="8"/>
  <c r="D72" i="8"/>
  <c r="H71" i="8"/>
  <c r="F71" i="8"/>
  <c r="D71" i="8"/>
  <c r="J69" i="8"/>
  <c r="H69" i="8"/>
  <c r="F69" i="8"/>
  <c r="D69" i="8"/>
  <c r="J67" i="8"/>
  <c r="J66" i="8"/>
  <c r="J65" i="8"/>
  <c r="F65" i="8"/>
  <c r="D65" i="8"/>
  <c r="J64" i="8"/>
  <c r="F64" i="8"/>
  <c r="D64" i="8"/>
  <c r="J63" i="8"/>
  <c r="F63" i="8"/>
  <c r="D63" i="8"/>
  <c r="J62" i="8"/>
  <c r="F62" i="8"/>
  <c r="D62" i="8"/>
  <c r="F61" i="8"/>
  <c r="D61" i="8"/>
  <c r="F60" i="8"/>
  <c r="D60" i="8"/>
  <c r="F59" i="8"/>
  <c r="D59" i="8"/>
  <c r="F58" i="8"/>
  <c r="D58" i="8"/>
  <c r="F57" i="8"/>
  <c r="D57" i="8"/>
  <c r="F56" i="8"/>
  <c r="D56" i="8"/>
  <c r="H55" i="8"/>
  <c r="F55" i="8"/>
  <c r="D55" i="8"/>
  <c r="H54" i="8"/>
  <c r="F54" i="8"/>
  <c r="D54" i="8"/>
  <c r="H53" i="8"/>
  <c r="F53" i="8"/>
  <c r="D53" i="8"/>
  <c r="H52" i="8"/>
  <c r="F52" i="8"/>
  <c r="D52" i="8"/>
  <c r="H50" i="8"/>
  <c r="F50" i="8"/>
  <c r="D50" i="8"/>
  <c r="H49" i="8"/>
  <c r="F49" i="8"/>
  <c r="H48" i="8"/>
  <c r="F48" i="8"/>
  <c r="D48" i="8"/>
  <c r="H47" i="8"/>
  <c r="F47" i="8"/>
  <c r="D47" i="8"/>
  <c r="H46" i="8"/>
  <c r="F46" i="8"/>
  <c r="D46" i="8"/>
  <c r="H45" i="8"/>
  <c r="F45" i="8"/>
  <c r="D45" i="8"/>
  <c r="H44" i="8"/>
  <c r="F44" i="8"/>
  <c r="D44" i="8"/>
  <c r="H42" i="8"/>
  <c r="F42" i="8"/>
  <c r="D42" i="8"/>
  <c r="H41" i="8"/>
  <c r="F41" i="8"/>
  <c r="D41" i="8"/>
  <c r="H40" i="8"/>
  <c r="F40" i="8"/>
  <c r="D40" i="8"/>
  <c r="J39" i="8"/>
  <c r="H39" i="8"/>
  <c r="F39" i="8"/>
  <c r="D39" i="8"/>
  <c r="J38" i="8"/>
  <c r="H38" i="8"/>
  <c r="F38" i="8"/>
  <c r="D38" i="8"/>
  <c r="J37" i="8"/>
  <c r="H37" i="8"/>
  <c r="F37" i="8"/>
  <c r="D37" i="8"/>
  <c r="H35" i="8"/>
  <c r="F35" i="8"/>
  <c r="D35" i="8"/>
  <c r="H34" i="8"/>
  <c r="F34" i="8"/>
  <c r="D34" i="8"/>
  <c r="J32" i="8"/>
  <c r="H32" i="8"/>
  <c r="F32" i="8"/>
  <c r="D32" i="8"/>
  <c r="J31" i="8"/>
  <c r="H31" i="8"/>
  <c r="F31" i="8"/>
  <c r="D31" i="8"/>
  <c r="H30" i="8"/>
  <c r="F30" i="8"/>
  <c r="D30" i="8"/>
  <c r="H29" i="8"/>
  <c r="F29" i="8"/>
  <c r="D29" i="8"/>
  <c r="H28" i="8"/>
  <c r="F28" i="8"/>
  <c r="D28" i="8"/>
  <c r="H27" i="8"/>
  <c r="F27" i="8"/>
  <c r="D27" i="8"/>
  <c r="J25" i="8"/>
  <c r="H25" i="8"/>
  <c r="F25" i="8"/>
  <c r="D25" i="8"/>
  <c r="J24" i="8"/>
  <c r="H24" i="8"/>
  <c r="F24" i="8"/>
  <c r="D24" i="8"/>
  <c r="J23" i="8"/>
  <c r="H23" i="8"/>
  <c r="F23" i="8"/>
  <c r="D23" i="8"/>
  <c r="H22" i="8"/>
  <c r="F22" i="8"/>
  <c r="D22" i="8"/>
  <c r="H20" i="8"/>
  <c r="F20" i="8"/>
  <c r="D20" i="8"/>
  <c r="H18" i="8"/>
  <c r="F18" i="8"/>
  <c r="D18" i="8"/>
  <c r="H17" i="8"/>
  <c r="F17" i="8"/>
  <c r="D17" i="8"/>
  <c r="H16" i="8"/>
  <c r="F16" i="8"/>
  <c r="D16" i="8"/>
  <c r="H15" i="8"/>
  <c r="F15" i="8"/>
  <c r="D15" i="8"/>
  <c r="J14" i="8"/>
  <c r="H14" i="8"/>
  <c r="F14" i="8"/>
  <c r="D14" i="8"/>
  <c r="H13" i="8"/>
  <c r="F13" i="8"/>
  <c r="D13" i="8"/>
  <c r="J12" i="8"/>
  <c r="H12" i="8"/>
  <c r="F12" i="8"/>
  <c r="D12" i="8"/>
  <c r="H11" i="8"/>
  <c r="F11" i="8"/>
  <c r="D11" i="8"/>
  <c r="H10" i="8"/>
  <c r="F10" i="8"/>
  <c r="D10" i="8"/>
  <c r="H9" i="8"/>
  <c r="F9" i="8"/>
  <c r="D9" i="8"/>
  <c r="J8" i="8"/>
  <c r="H8" i="8"/>
  <c r="F8" i="8"/>
  <c r="D8" i="8"/>
  <c r="H7" i="8"/>
  <c r="F7" i="8"/>
  <c r="D7" i="8"/>
  <c r="F5" i="8"/>
  <c r="D5" i="8"/>
  <c r="D77" i="9" l="1"/>
  <c r="C12" i="4" s="1"/>
  <c r="F77" i="8"/>
  <c r="F77" i="10"/>
  <c r="D77" i="10"/>
  <c r="C14" i="4" s="1"/>
  <c r="H77" i="10"/>
  <c r="J77" i="10"/>
  <c r="H77" i="9"/>
  <c r="J77" i="9"/>
  <c r="F77" i="9"/>
  <c r="D77" i="8"/>
  <c r="C10" i="4" s="1"/>
  <c r="J77" i="8"/>
  <c r="H77" i="8"/>
  <c r="A87" i="10" l="1"/>
  <c r="S15" i="4" s="1"/>
  <c r="F14" i="4"/>
  <c r="A87" i="9"/>
  <c r="S13" i="4" s="1"/>
  <c r="F12" i="4"/>
  <c r="A87" i="8"/>
  <c r="S11" i="4" s="1"/>
  <c r="F10" i="4"/>
  <c r="A85" i="9"/>
  <c r="C85" i="9" s="1"/>
  <c r="Q13" i="4" s="1"/>
  <c r="F79" i="8"/>
  <c r="A85" i="8"/>
  <c r="C85" i="8" s="1"/>
  <c r="Q11" i="4" s="1"/>
  <c r="A85" i="10"/>
  <c r="C85" i="10" s="1"/>
  <c r="Q15" i="4" s="1"/>
  <c r="F79" i="10"/>
  <c r="F79" i="9"/>
  <c r="C79" i="5"/>
  <c r="R11" i="4" l="1"/>
  <c r="R13" i="4"/>
  <c r="R15" i="4"/>
  <c r="F67" i="5"/>
  <c r="F57" i="5"/>
  <c r="D67" i="5"/>
  <c r="D57" i="5"/>
  <c r="J69" i="5"/>
  <c r="J67" i="5"/>
  <c r="J66" i="5"/>
  <c r="J65" i="5"/>
  <c r="J64" i="5"/>
  <c r="J63" i="5"/>
  <c r="J62" i="5"/>
  <c r="J39" i="5"/>
  <c r="J38" i="5"/>
  <c r="J37" i="5"/>
  <c r="J32" i="5"/>
  <c r="J31" i="5"/>
  <c r="J25" i="5"/>
  <c r="J24" i="5"/>
  <c r="J23" i="5"/>
  <c r="J14" i="5" l="1"/>
  <c r="J12" i="5"/>
  <c r="J8" i="5"/>
  <c r="H8" i="5"/>
  <c r="H14" i="5"/>
  <c r="H12" i="5"/>
  <c r="F14" i="5"/>
  <c r="F12" i="5"/>
  <c r="F8" i="5"/>
  <c r="D8" i="5"/>
  <c r="D14" i="5"/>
  <c r="D12" i="5"/>
  <c r="J77" i="5" l="1"/>
  <c r="V9" i="4" l="1"/>
  <c r="B18" i="4" l="1"/>
  <c r="B16" i="4"/>
  <c r="H49" i="5" l="1"/>
  <c r="F49" i="5"/>
  <c r="F59" i="5" l="1"/>
  <c r="D59" i="5"/>
  <c r="H47" i="5" l="1"/>
  <c r="H44" i="5"/>
  <c r="F47" i="5"/>
  <c r="F44" i="5"/>
  <c r="D47" i="5"/>
  <c r="D44" i="5"/>
  <c r="F13" i="4" l="1"/>
  <c r="C13" i="4"/>
  <c r="F11" i="4"/>
  <c r="F15" i="4"/>
  <c r="C15" i="4"/>
  <c r="B54" i="4" l="1"/>
  <c r="B53" i="4"/>
  <c r="H52" i="4"/>
  <c r="H51" i="4"/>
  <c r="H49" i="4"/>
  <c r="E49" i="4"/>
  <c r="H46" i="4"/>
  <c r="E46" i="4"/>
  <c r="E40" i="4"/>
  <c r="E39" i="4"/>
  <c r="E38" i="4"/>
  <c r="E37" i="4"/>
  <c r="E36" i="4"/>
  <c r="H27" i="4"/>
  <c r="B27" i="4"/>
  <c r="H26" i="4"/>
  <c r="B26" i="4"/>
  <c r="H25" i="4"/>
  <c r="H24" i="4"/>
  <c r="M23" i="4"/>
  <c r="L23" i="4"/>
  <c r="M22" i="4"/>
  <c r="L22" i="4"/>
  <c r="H22" i="4"/>
  <c r="E22" i="4"/>
  <c r="M21" i="4"/>
  <c r="L21" i="4"/>
  <c r="H21" i="4"/>
  <c r="E21" i="4"/>
  <c r="B21" i="4"/>
  <c r="M20" i="4"/>
  <c r="L20" i="4"/>
  <c r="G20" i="4"/>
  <c r="F20" i="4"/>
  <c r="C20" i="4"/>
  <c r="E20" i="4" s="1"/>
  <c r="B20" i="4"/>
  <c r="G19" i="4"/>
  <c r="F19" i="4"/>
  <c r="C19" i="4"/>
  <c r="E19" i="4" s="1"/>
  <c r="B19" i="4"/>
  <c r="G18" i="4"/>
  <c r="F18" i="4"/>
  <c r="D18" i="4"/>
  <c r="E18" i="4" s="1"/>
  <c r="C18" i="4"/>
  <c r="G17" i="4"/>
  <c r="F17" i="4"/>
  <c r="H17" i="4" s="1"/>
  <c r="C17" i="4"/>
  <c r="E17" i="4" s="1"/>
  <c r="B17" i="4"/>
  <c r="G16" i="4"/>
  <c r="F16" i="4"/>
  <c r="H16" i="4" s="1"/>
  <c r="C16" i="4"/>
  <c r="E16" i="4" s="1"/>
  <c r="H15" i="4"/>
  <c r="E15" i="4"/>
  <c r="H13" i="4"/>
  <c r="E13" i="4"/>
  <c r="H11" i="4"/>
  <c r="E11" i="4"/>
  <c r="H9" i="4"/>
  <c r="E9" i="4"/>
  <c r="F7" i="4"/>
  <c r="H7" i="4" s="1"/>
  <c r="E7" i="4"/>
  <c r="C81" i="5"/>
  <c r="H75" i="5"/>
  <c r="F75" i="5"/>
  <c r="D75" i="5"/>
  <c r="H73" i="5"/>
  <c r="F73" i="5"/>
  <c r="D73" i="5"/>
  <c r="H72" i="5"/>
  <c r="F72" i="5"/>
  <c r="D72" i="5"/>
  <c r="H71" i="5"/>
  <c r="F71" i="5"/>
  <c r="D71" i="5"/>
  <c r="H69" i="5"/>
  <c r="F69" i="5"/>
  <c r="D69" i="5"/>
  <c r="H66" i="5"/>
  <c r="F66" i="5"/>
  <c r="D66" i="5"/>
  <c r="H65" i="5"/>
  <c r="F65" i="5"/>
  <c r="D65" i="5"/>
  <c r="H64" i="5"/>
  <c r="F64" i="5"/>
  <c r="D64" i="5"/>
  <c r="H63" i="5"/>
  <c r="F63" i="5"/>
  <c r="D63" i="5"/>
  <c r="H62" i="5"/>
  <c r="F62" i="5"/>
  <c r="D62" i="5"/>
  <c r="H61" i="5"/>
  <c r="F61" i="5"/>
  <c r="D61" i="5"/>
  <c r="H60" i="5"/>
  <c r="F60" i="5"/>
  <c r="D60" i="5"/>
  <c r="F58" i="5"/>
  <c r="D58" i="5"/>
  <c r="F56" i="5"/>
  <c r="D56" i="5"/>
  <c r="H55" i="5"/>
  <c r="F55" i="5"/>
  <c r="D55" i="5"/>
  <c r="H54" i="5"/>
  <c r="F54" i="5"/>
  <c r="D54" i="5"/>
  <c r="H53" i="5"/>
  <c r="F53" i="5"/>
  <c r="D53" i="5"/>
  <c r="H52" i="5"/>
  <c r="F52" i="5"/>
  <c r="D52" i="5"/>
  <c r="H50" i="5"/>
  <c r="F50" i="5"/>
  <c r="D50" i="5"/>
  <c r="H48" i="5"/>
  <c r="F48" i="5"/>
  <c r="D48" i="5"/>
  <c r="H46" i="5"/>
  <c r="F46" i="5"/>
  <c r="D46" i="5"/>
  <c r="H45" i="5"/>
  <c r="F45" i="5"/>
  <c r="D45" i="5"/>
  <c r="H42" i="5"/>
  <c r="F42" i="5"/>
  <c r="D42" i="5"/>
  <c r="H41" i="5"/>
  <c r="F41" i="5"/>
  <c r="D41" i="5"/>
  <c r="H40" i="5"/>
  <c r="F40" i="5"/>
  <c r="D40" i="5"/>
  <c r="H39" i="5"/>
  <c r="F39" i="5"/>
  <c r="D39" i="5"/>
  <c r="H38" i="5"/>
  <c r="F38" i="5"/>
  <c r="D38" i="5"/>
  <c r="H37" i="5"/>
  <c r="F37" i="5"/>
  <c r="D37" i="5"/>
  <c r="H35" i="5"/>
  <c r="F35" i="5"/>
  <c r="D35" i="5"/>
  <c r="H34" i="5"/>
  <c r="F34" i="5"/>
  <c r="D34" i="5"/>
  <c r="H32" i="5"/>
  <c r="F32" i="5"/>
  <c r="D32" i="5"/>
  <c r="H31" i="5"/>
  <c r="F31" i="5"/>
  <c r="D31" i="5"/>
  <c r="H30" i="5"/>
  <c r="F30" i="5"/>
  <c r="D30" i="5"/>
  <c r="H29" i="5"/>
  <c r="F29" i="5"/>
  <c r="D29" i="5"/>
  <c r="H28" i="5"/>
  <c r="F28" i="5"/>
  <c r="D28" i="5"/>
  <c r="H27" i="5"/>
  <c r="F27" i="5"/>
  <c r="D27" i="5"/>
  <c r="H25" i="5"/>
  <c r="F25" i="5"/>
  <c r="D25" i="5"/>
  <c r="H24" i="5"/>
  <c r="F24" i="5"/>
  <c r="D24" i="5"/>
  <c r="H23" i="5"/>
  <c r="F23" i="5"/>
  <c r="D23" i="5"/>
  <c r="H22" i="5"/>
  <c r="F22" i="5"/>
  <c r="D22" i="5"/>
  <c r="H20" i="5"/>
  <c r="F20" i="5"/>
  <c r="D20" i="5"/>
  <c r="H18" i="5"/>
  <c r="F18" i="5"/>
  <c r="D18" i="5"/>
  <c r="H17" i="5"/>
  <c r="F17" i="5"/>
  <c r="D17" i="5"/>
  <c r="H16" i="5"/>
  <c r="F16" i="5"/>
  <c r="D16" i="5"/>
  <c r="H15" i="5"/>
  <c r="F15" i="5"/>
  <c r="D15" i="5"/>
  <c r="H13" i="5"/>
  <c r="F13" i="5"/>
  <c r="D13" i="5"/>
  <c r="H11" i="5"/>
  <c r="F11" i="5"/>
  <c r="D11" i="5"/>
  <c r="H10" i="5"/>
  <c r="F10" i="5"/>
  <c r="D10" i="5"/>
  <c r="H9" i="5"/>
  <c r="F9" i="5"/>
  <c r="D9" i="5"/>
  <c r="H7" i="5"/>
  <c r="F7" i="5"/>
  <c r="D7" i="5"/>
  <c r="F5" i="5"/>
  <c r="D5" i="5"/>
  <c r="H18" i="4" l="1"/>
  <c r="H20" i="4"/>
  <c r="H19" i="4"/>
  <c r="H12" i="4" l="1"/>
  <c r="H10" i="4"/>
  <c r="E10" i="4" l="1"/>
  <c r="H14" i="4"/>
  <c r="E14" i="4"/>
  <c r="E12" i="4"/>
  <c r="H68" i="5"/>
  <c r="H77" i="5" s="1"/>
  <c r="R6" i="4" s="1"/>
  <c r="F77" i="5"/>
  <c r="A85" i="5" s="1"/>
  <c r="D68" i="5"/>
  <c r="D77" i="5" s="1"/>
  <c r="C47" i="4" s="1"/>
  <c r="E47" i="4" s="1"/>
  <c r="E55" i="4" s="1"/>
  <c r="E56" i="4" s="1"/>
  <c r="H57" i="4" s="1"/>
  <c r="R9" i="4" l="1"/>
  <c r="C85" i="5"/>
  <c r="Q9" i="4" s="1"/>
  <c r="A87" i="5"/>
  <c r="S9" i="4" s="1"/>
  <c r="F8" i="4"/>
  <c r="H8" i="4" s="1"/>
  <c r="H28" i="4" s="1"/>
  <c r="H29" i="4" s="1"/>
  <c r="C8" i="4"/>
  <c r="E8" i="4" s="1"/>
  <c r="E28" i="4" s="1"/>
  <c r="E29" i="4" s="1"/>
  <c r="H30" i="4" s="1"/>
  <c r="F47" i="4"/>
  <c r="H47" i="4" s="1"/>
  <c r="H55" i="4" s="1"/>
  <c r="H56" i="4" s="1"/>
  <c r="H58" i="4" s="1"/>
  <c r="H59" i="4" s="1"/>
  <c r="F79" i="5"/>
  <c r="H31" i="4" l="1"/>
  <c r="H32" i="4" s="1"/>
  <c r="C41" i="4" s="1"/>
  <c r="E41" i="4" s="1"/>
</calcChain>
</file>

<file path=xl/sharedStrings.xml><?xml version="1.0" encoding="utf-8"?>
<sst xmlns="http://schemas.openxmlformats.org/spreadsheetml/2006/main" count="552" uniqueCount="219">
  <si>
    <t>Qty</t>
  </si>
  <si>
    <t>Standby Sum (A)</t>
  </si>
  <si>
    <t>Standby (A)</t>
  </si>
  <si>
    <t>Alarm (A)</t>
  </si>
  <si>
    <t xml:space="preserve">Alarm Sum (A) </t>
  </si>
  <si>
    <t>Remark</t>
  </si>
  <si>
    <t>Loop Power Current consumption checker</t>
  </si>
  <si>
    <t>Total Quantity of Addressable devices per loop</t>
  </si>
  <si>
    <t>Standby Sum</t>
  </si>
  <si>
    <t>Alarm Sum</t>
  </si>
  <si>
    <t>Cable Parameters</t>
  </si>
  <si>
    <t>Cable manufacturer</t>
  </si>
  <si>
    <t>Resistance (per Core)</t>
  </si>
  <si>
    <t>Inductance (per Core)</t>
  </si>
  <si>
    <t>Capacitance (Core to Core)</t>
  </si>
  <si>
    <t>Ohms per KM</t>
  </si>
  <si>
    <t>mH per km</t>
  </si>
  <si>
    <t>uF per km</t>
  </si>
  <si>
    <t>Select Cable type</t>
  </si>
  <si>
    <t>Fire Tuff (2 Core) 1.0mm</t>
  </si>
  <si>
    <t>Fire Tuff (2 Core ) 1.5mm</t>
  </si>
  <si>
    <t>Fire Tuff (2 Core ) 2.5mm</t>
  </si>
  <si>
    <t>Fire Tuff (3/4 core) 1.0mm</t>
  </si>
  <si>
    <t>Fire Tuff (3/4 core) 1.5mm</t>
  </si>
  <si>
    <t>Fire Tuff (3/4 core) 2.5mm</t>
  </si>
  <si>
    <t>FP200 1.0mm</t>
  </si>
  <si>
    <t>FP200 1.5mm</t>
  </si>
  <si>
    <t>FP200 2.5mm</t>
  </si>
  <si>
    <t>MICC 1.0mm</t>
  </si>
  <si>
    <t>MICC 1.5mm</t>
  </si>
  <si>
    <t>MICC 2.5mm</t>
  </si>
  <si>
    <t>SWA (2 core)</t>
  </si>
  <si>
    <t>Ventcroft No Burn Standard 1.5mm</t>
  </si>
  <si>
    <t>Ventcrogt No Burn Standard 2.5mm</t>
  </si>
  <si>
    <t>Ventcroft No Burn enhanced 1.5mm</t>
  </si>
  <si>
    <t>Ventcroft No Burn enhanced 2.5mm</t>
  </si>
  <si>
    <t>Evolution +</t>
  </si>
  <si>
    <t>CPU Points</t>
  </si>
  <si>
    <t>Points Sum</t>
  </si>
  <si>
    <t>Ohms/KM</t>
  </si>
  <si>
    <t>Loop Voltage Drop in Alarm</t>
  </si>
  <si>
    <t>Project</t>
  </si>
  <si>
    <t>Completed by</t>
  </si>
  <si>
    <t>Date</t>
  </si>
  <si>
    <t>PANEL</t>
  </si>
  <si>
    <t>Quiescent Load</t>
  </si>
  <si>
    <t>Fire Alarm Load</t>
  </si>
  <si>
    <t>evolution 1</t>
  </si>
  <si>
    <t>I(A)</t>
  </si>
  <si>
    <t>X</t>
  </si>
  <si>
    <t>Total</t>
  </si>
  <si>
    <t>Display &amp; Loop Driver Card</t>
  </si>
  <si>
    <t>Sensor  / Loop Current*</t>
  </si>
  <si>
    <t>ANCILLARY SUPPLY OUTPUT (AUX)</t>
  </si>
  <si>
    <t>Sounder Output A</t>
  </si>
  <si>
    <t>Sounder Output B</t>
  </si>
  <si>
    <t>ΣQuiescent Load</t>
  </si>
  <si>
    <t>ΣAlarm Load</t>
  </si>
  <si>
    <t xml:space="preserve">Standby Duration (hours) = </t>
  </si>
  <si>
    <t>Hr</t>
  </si>
  <si>
    <t>X(2 x 0.5) =</t>
  </si>
  <si>
    <t>→ (carry forward) +</t>
  </si>
  <si>
    <t>Total Load (Quiescent + Alarm) =</t>
  </si>
  <si>
    <t>X 1.25 (Battery De-rating factor)** =</t>
  </si>
  <si>
    <t>Select Nittan evo+ Panel</t>
  </si>
  <si>
    <t>Q</t>
  </si>
  <si>
    <t>A</t>
  </si>
  <si>
    <t>OFF</t>
  </si>
  <si>
    <t>Chassis</t>
  </si>
  <si>
    <t>DIM</t>
  </si>
  <si>
    <t>ON</t>
  </si>
  <si>
    <r>
      <t xml:space="preserve">Loop Driver </t>
    </r>
    <r>
      <rPr>
        <b/>
        <i/>
        <sz val="8"/>
        <rFont val="Arial"/>
        <family val="2"/>
      </rPr>
      <t>Loop 1</t>
    </r>
  </si>
  <si>
    <t>MXP-503</t>
  </si>
  <si>
    <r>
      <t xml:space="preserve">Loop Driver </t>
    </r>
    <r>
      <rPr>
        <b/>
        <i/>
        <sz val="8"/>
        <rFont val="Arial"/>
        <family val="2"/>
      </rPr>
      <t>Loop 2</t>
    </r>
  </si>
  <si>
    <t>MXP-509</t>
  </si>
  <si>
    <t>NONE</t>
  </si>
  <si>
    <r>
      <t xml:space="preserve">Loop Driver </t>
    </r>
    <r>
      <rPr>
        <b/>
        <i/>
        <sz val="8"/>
        <rFont val="Arial"/>
        <family val="2"/>
      </rPr>
      <t>Loop 3</t>
    </r>
  </si>
  <si>
    <t>MXP-507</t>
  </si>
  <si>
    <r>
      <t xml:space="preserve">Loop Driver </t>
    </r>
    <r>
      <rPr>
        <b/>
        <i/>
        <sz val="8"/>
        <rFont val="Arial"/>
        <family val="2"/>
      </rPr>
      <t>Loop 4</t>
    </r>
  </si>
  <si>
    <t>MXP-532</t>
  </si>
  <si>
    <t>MXP-512</t>
  </si>
  <si>
    <t>MXP-504</t>
  </si>
  <si>
    <t>MXP-504/508</t>
  </si>
  <si>
    <t>OPTIONS:</t>
  </si>
  <si>
    <t>SND 85dB</t>
  </si>
  <si>
    <t>LCD DIMMING MODE</t>
  </si>
  <si>
    <t>SND 90dB</t>
  </si>
  <si>
    <t>NETWORK</t>
  </si>
  <si>
    <t>ROUTING / RELAY CARDS</t>
  </si>
  <si>
    <t>LED CARDS - NBR OF LEDS</t>
  </si>
  <si>
    <t>PRINTER</t>
  </si>
  <si>
    <t>FAT/FBF/FSD/ÜE INTERFACE</t>
  </si>
  <si>
    <t>MINIMUM ENCLOSURE</t>
  </si>
  <si>
    <t>Total of device points</t>
  </si>
  <si>
    <t>MX5 Pro supports a maximum of 1000 device points</t>
  </si>
  <si>
    <t xml:space="preserve"> MX4 pro supports Maximum of 942 device points</t>
  </si>
  <si>
    <t>Device Programming Points Summary</t>
  </si>
  <si>
    <t>Loop 1</t>
  </si>
  <si>
    <t>Loop2</t>
  </si>
  <si>
    <t>Loop 3</t>
  </si>
  <si>
    <t>Loop 4</t>
  </si>
  <si>
    <t>Circuit</t>
  </si>
  <si>
    <t>Status</t>
  </si>
  <si>
    <t>Volt Drop</t>
  </si>
  <si>
    <t>Devices</t>
  </si>
  <si>
    <t xml:space="preserve">Cable </t>
  </si>
  <si>
    <t>Type</t>
  </si>
  <si>
    <t>Loop</t>
  </si>
  <si>
    <t>Max Loop</t>
  </si>
  <si>
    <t>Length(M)</t>
  </si>
  <si>
    <t>For Evolution + panels Select panel size, For Evolution 1 use lower calculation panel.</t>
  </si>
  <si>
    <t>Enter Loop Device quantities into the LOOP page tables</t>
  </si>
  <si>
    <t>Set Quantity of device LEDs active in alarm. In Evolution + panels the quantity can be set</t>
  </si>
  <si>
    <t>in the configuration, For Evolution 1 the quantity is fixed at 8 per loop.</t>
  </si>
  <si>
    <t>The User must set the LED quantity in the Table. This is important as it can have significant</t>
  </si>
  <si>
    <t>impact on the loop calculation.</t>
  </si>
  <si>
    <t>In the Loop Table select the type of cable to be used in the Installation.</t>
  </si>
  <si>
    <t>Enter an estimate of the Installed loop cable length.</t>
  </si>
  <si>
    <t>Maximum suggested loop load is 80% of 500mA</t>
  </si>
  <si>
    <t>Calculated Maximum cable length in Metres</t>
  </si>
  <si>
    <t>Enter Total loop Cable length in Metres</t>
  </si>
  <si>
    <t>The Volt Drop calculation is made as worst case scenario with the full</t>
  </si>
  <si>
    <t>load being applied to the end of the cable length.</t>
  </si>
  <si>
    <t>The loop Quiescent and alarm loads will be automatically entered into the Battery  Standby</t>
  </si>
  <si>
    <t xml:space="preserve">Calculator. Additional loadings must be added into the battery Calculation tables such as </t>
  </si>
  <si>
    <t xml:space="preserve">Conventional sounder loads and accessories . Check that the Standby Time has been set to </t>
  </si>
  <si>
    <t>the specified timescale for the installation.</t>
  </si>
  <si>
    <t xml:space="preserve">Instructions    For Evolution 1 and EVO + Control Panels </t>
  </si>
  <si>
    <t>Note:-Not Suitable For MX4000 (MXPro 4) Panels.Use the older Loop calculator program</t>
  </si>
  <si>
    <t>Where a loop card is not fitted set X factor under columns D &amp; G to 0 For that loop driver.</t>
  </si>
  <si>
    <t xml:space="preserve"> </t>
  </si>
  <si>
    <t>SCI Impedance</t>
  </si>
  <si>
    <t>SCI Impedance Total</t>
  </si>
  <si>
    <t>Sensors</t>
  </si>
  <si>
    <t>Manual call points</t>
  </si>
  <si>
    <t>Audio Visual Alarms</t>
  </si>
  <si>
    <t>Loop Modules</t>
  </si>
  <si>
    <t>Ancillary Devices</t>
  </si>
  <si>
    <r>
      <rPr>
        <b/>
        <sz val="12"/>
        <rFont val="Calibri"/>
        <family val="2"/>
        <scheme val="minor"/>
      </rPr>
      <t>EV-P/PY</t>
    </r>
    <r>
      <rPr>
        <sz val="12"/>
        <rFont val="Calibri"/>
        <family val="2"/>
        <scheme val="minor"/>
      </rPr>
      <t xml:space="preserve"> Optical smoke detector  (F14-82100 / F14-82120)</t>
    </r>
  </si>
  <si>
    <r>
      <rPr>
        <b/>
        <sz val="12"/>
        <rFont val="Calibri"/>
        <family val="2"/>
        <scheme val="minor"/>
      </rPr>
      <t xml:space="preserve">EV-PY-SCI </t>
    </r>
    <r>
      <rPr>
        <sz val="12"/>
        <rFont val="Calibri"/>
        <family val="2"/>
        <scheme val="minor"/>
      </rPr>
      <t>Optical smoke detector with isolator (F14-82125)</t>
    </r>
  </si>
  <si>
    <r>
      <rPr>
        <b/>
        <sz val="12"/>
        <rFont val="Calibri"/>
        <family val="2"/>
        <scheme val="minor"/>
      </rPr>
      <t>EV-DP</t>
    </r>
    <r>
      <rPr>
        <sz val="12"/>
        <rFont val="Calibri"/>
        <family val="2"/>
        <scheme val="minor"/>
      </rPr>
      <t xml:space="preserve"> Dual Optical smoke detector  (F14-82105)</t>
    </r>
  </si>
  <si>
    <r>
      <rPr>
        <b/>
        <sz val="12"/>
        <rFont val="Calibri"/>
        <family val="2"/>
        <scheme val="minor"/>
      </rPr>
      <t>EV-H2-SCI</t>
    </r>
    <r>
      <rPr>
        <sz val="12"/>
        <rFont val="Calibri"/>
        <family val="2"/>
        <scheme val="minor"/>
      </rPr>
      <t xml:space="preserve"> Configurable Heat with Isolator   (F15-82225)</t>
    </r>
  </si>
  <si>
    <r>
      <rPr>
        <b/>
        <sz val="12"/>
        <rFont val="Calibri"/>
        <family val="2"/>
        <scheme val="minor"/>
      </rPr>
      <t xml:space="preserve">EV-PH/PYH </t>
    </r>
    <r>
      <rPr>
        <sz val="12"/>
        <rFont val="Calibri"/>
        <family val="2"/>
        <scheme val="minor"/>
      </rPr>
      <t>combination optical smoke and heat detector (F20-82400 / F20-82420)</t>
    </r>
  </si>
  <si>
    <r>
      <rPr>
        <b/>
        <sz val="12"/>
        <rFont val="Calibri"/>
        <family val="2"/>
        <scheme val="minor"/>
      </rPr>
      <t>EV-PYH-SCI</t>
    </r>
    <r>
      <rPr>
        <sz val="12"/>
        <rFont val="Calibri"/>
        <family val="2"/>
        <scheme val="minor"/>
      </rPr>
      <t xml:space="preserve"> Combination optical smoke and heat detector with SCI (F20-82425)</t>
    </r>
  </si>
  <si>
    <r>
      <rPr>
        <b/>
        <sz val="12"/>
        <rFont val="Calibri"/>
        <family val="2"/>
        <scheme val="minor"/>
      </rPr>
      <t>EV-DPH-A2R</t>
    </r>
    <r>
      <rPr>
        <sz val="12"/>
        <rFont val="Calibri"/>
        <family val="2"/>
        <scheme val="minor"/>
      </rPr>
      <t xml:space="preserve"> Dual Optical/Heat Detector (F14-82106)</t>
    </r>
  </si>
  <si>
    <r>
      <rPr>
        <b/>
        <sz val="12"/>
        <rFont val="Calibri"/>
        <family val="2"/>
        <scheme val="minor"/>
      </rPr>
      <t xml:space="preserve">EV-H/H2-A1R </t>
    </r>
    <r>
      <rPr>
        <sz val="12"/>
        <rFont val="Calibri"/>
        <family val="2"/>
        <scheme val="minor"/>
      </rPr>
      <t>Rate of rise heat detector (F15-82200 / F1582220)</t>
    </r>
  </si>
  <si>
    <r>
      <rPr>
        <b/>
        <sz val="12"/>
        <rFont val="Calibri"/>
        <family val="2"/>
        <scheme val="minor"/>
      </rPr>
      <t>EV-H/H2-CS</t>
    </r>
    <r>
      <rPr>
        <sz val="12"/>
        <rFont val="Calibri"/>
        <family val="2"/>
        <scheme val="minor"/>
      </rPr>
      <t xml:space="preserve"> Fixed temp heat detector (F15-82201 / F15-82221)</t>
    </r>
  </si>
  <si>
    <r>
      <rPr>
        <b/>
        <sz val="12"/>
        <rFont val="Calibri"/>
        <family val="2"/>
        <scheme val="minor"/>
      </rPr>
      <t xml:space="preserve">EV-DPH-CS </t>
    </r>
    <r>
      <rPr>
        <sz val="12"/>
        <rFont val="Calibri"/>
        <family val="2"/>
        <scheme val="minor"/>
      </rPr>
      <t>Dual Optical/Heat Detector  (F20-82107)</t>
    </r>
  </si>
  <si>
    <r>
      <rPr>
        <b/>
        <sz val="12"/>
        <rFont val="Calibri"/>
        <family val="2"/>
        <scheme val="minor"/>
      </rPr>
      <t>EV-PS</t>
    </r>
    <r>
      <rPr>
        <sz val="12"/>
        <rFont val="Calibri"/>
        <family val="2"/>
        <scheme val="minor"/>
      </rPr>
      <t xml:space="preserve"> Optical Detector with In-built Sounder (F20-82501)</t>
    </r>
  </si>
  <si>
    <r>
      <rPr>
        <b/>
        <sz val="12"/>
        <rFont val="Calibri"/>
        <family val="2"/>
        <scheme val="minor"/>
      </rPr>
      <t xml:space="preserve">EV-PYS </t>
    </r>
    <r>
      <rPr>
        <sz val="12"/>
        <rFont val="Calibri"/>
        <family val="2"/>
        <scheme val="minor"/>
      </rPr>
      <t>Optical Detector with In-built Sounder  (F20-82510)</t>
    </r>
  </si>
  <si>
    <t>Detector Bases</t>
  </si>
  <si>
    <r>
      <rPr>
        <b/>
        <sz val="12"/>
        <rFont val="Calibri"/>
        <family val="2"/>
        <scheme val="minor"/>
      </rPr>
      <t>UB-6-EV</t>
    </r>
    <r>
      <rPr>
        <sz val="12"/>
        <rFont val="Calibri"/>
        <family val="2"/>
        <scheme val="minor"/>
      </rPr>
      <t xml:space="preserve"> Standard base for use with Evolution detectors (F03-83521)</t>
    </r>
  </si>
  <si>
    <r>
      <rPr>
        <b/>
        <sz val="12"/>
        <rFont val="Calibri"/>
        <family val="2"/>
        <scheme val="minor"/>
      </rPr>
      <t>EV-SPB-SCI</t>
    </r>
    <r>
      <rPr>
        <sz val="12"/>
        <rFont val="Calibri"/>
        <family val="2"/>
        <scheme val="minor"/>
      </rPr>
      <t xml:space="preserve"> Waterproof -ve Isolator Base</t>
    </r>
  </si>
  <si>
    <r>
      <rPr>
        <b/>
        <sz val="12"/>
        <rFont val="Calibri"/>
        <family val="2"/>
        <scheme val="minor"/>
      </rPr>
      <t>EV-MCP RESET</t>
    </r>
    <r>
      <rPr>
        <sz val="12"/>
        <rFont val="Calibri"/>
        <family val="2"/>
        <scheme val="minor"/>
      </rPr>
      <t xml:space="preserve"> Manual Call Point  (F16-82003)</t>
    </r>
  </si>
  <si>
    <r>
      <rPr>
        <b/>
        <sz val="12"/>
        <rFont val="Calibri"/>
        <family val="2"/>
        <scheme val="minor"/>
      </rPr>
      <t>EV-MCP RESET</t>
    </r>
    <r>
      <rPr>
        <sz val="12"/>
        <rFont val="Calibri"/>
        <family val="2"/>
        <scheme val="minor"/>
      </rPr>
      <t xml:space="preserve"> Waterproof Manual Call Point  (F16-82004)</t>
    </r>
  </si>
  <si>
    <r>
      <rPr>
        <b/>
        <sz val="12"/>
        <rFont val="Calibri"/>
        <family val="2"/>
        <scheme val="minor"/>
      </rPr>
      <t>EV-MCP2-IP24</t>
    </r>
    <r>
      <rPr>
        <sz val="12"/>
        <rFont val="Calibri"/>
        <family val="2"/>
        <scheme val="minor"/>
      </rPr>
      <t xml:space="preserve"> Manual Call Point  (F16-82201)</t>
    </r>
  </si>
  <si>
    <r>
      <rPr>
        <b/>
        <sz val="12"/>
        <rFont val="Calibri"/>
        <family val="2"/>
        <scheme val="minor"/>
      </rPr>
      <t xml:space="preserve">EV-MCP2-IP67 </t>
    </r>
    <r>
      <rPr>
        <sz val="12"/>
        <rFont val="Calibri"/>
        <family val="2"/>
        <scheme val="minor"/>
      </rPr>
      <t>Waterproof Manual Call Point  (F16-82206)</t>
    </r>
  </si>
  <si>
    <r>
      <rPr>
        <b/>
        <sz val="12"/>
        <rFont val="Calibri"/>
        <family val="2"/>
        <scheme val="minor"/>
      </rPr>
      <t>EV-MCP2-SCI-IP24</t>
    </r>
    <r>
      <rPr>
        <sz val="12"/>
        <rFont val="Calibri"/>
        <family val="2"/>
        <scheme val="minor"/>
      </rPr>
      <t xml:space="preserve"> Manual Call Point with -ve Isolator   (F16-82200)</t>
    </r>
  </si>
  <si>
    <r>
      <rPr>
        <b/>
        <sz val="12"/>
        <rFont val="Calibri"/>
        <family val="2"/>
        <scheme val="minor"/>
      </rPr>
      <t>EV-MCP2-SCI-IP67</t>
    </r>
    <r>
      <rPr>
        <sz val="12"/>
        <rFont val="Calibri"/>
        <family val="2"/>
        <scheme val="minor"/>
      </rPr>
      <t xml:space="preserve"> Waterproof Manual Call Point -ve Isolator  (F16-82205)</t>
    </r>
  </si>
  <si>
    <r>
      <rPr>
        <b/>
        <sz val="12"/>
        <rFont val="Calibri"/>
        <family val="2"/>
        <scheme val="minor"/>
      </rPr>
      <t>EV-SDR Base</t>
    </r>
    <r>
      <rPr>
        <sz val="12"/>
        <rFont val="Calibri"/>
        <family val="2"/>
        <scheme val="minor"/>
      </rPr>
      <t xml:space="preserve"> Ceiling mounted Sounder with integral detector Base  (F16-82100)</t>
    </r>
  </si>
  <si>
    <r>
      <rPr>
        <b/>
        <sz val="12"/>
        <rFont val="Calibri"/>
        <family val="2"/>
        <scheme val="minor"/>
      </rPr>
      <t>EV-SDR</t>
    </r>
    <r>
      <rPr>
        <sz val="12"/>
        <rFont val="Calibri"/>
        <family val="2"/>
        <scheme val="minor"/>
      </rPr>
      <t xml:space="preserve">  Ceiling or wall mounted Sounder  (F16-82110)</t>
    </r>
  </si>
  <si>
    <r>
      <rPr>
        <b/>
        <sz val="12"/>
        <rFont val="Calibri"/>
        <family val="2"/>
        <scheme val="minor"/>
      </rPr>
      <t>EV-HIOP-SB-SCI</t>
    </r>
    <r>
      <rPr>
        <sz val="12"/>
        <rFont val="Calibri"/>
        <family val="2"/>
        <scheme val="minor"/>
      </rPr>
      <t xml:space="preserve"> High Output wall Sounder Beacon with -ve Isolator  (F16-82050)</t>
    </r>
  </si>
  <si>
    <r>
      <rPr>
        <b/>
        <sz val="12"/>
        <rFont val="Calibri"/>
        <family val="2"/>
        <scheme val="minor"/>
      </rPr>
      <t>EV-HIOP-BCN-SCI</t>
    </r>
    <r>
      <rPr>
        <sz val="12"/>
        <rFont val="Calibri"/>
        <family val="2"/>
        <scheme val="minor"/>
      </rPr>
      <t xml:space="preserve"> High Output wall Beacon with -ve Isolator (F16-82055)</t>
    </r>
  </si>
  <si>
    <r>
      <rPr>
        <b/>
        <sz val="12"/>
        <rFont val="Calibri"/>
        <family val="2"/>
        <scheme val="minor"/>
      </rPr>
      <t>EV-HIOP-SDR-SCI</t>
    </r>
    <r>
      <rPr>
        <sz val="12"/>
        <rFont val="Calibri"/>
        <family val="2"/>
        <scheme val="minor"/>
      </rPr>
      <t xml:space="preserve"> High Output wall Sounder with -ve Isolator (F16-82060)</t>
    </r>
  </si>
  <si>
    <r>
      <rPr>
        <b/>
        <sz val="12"/>
        <rFont val="Calibri"/>
        <family val="2"/>
        <scheme val="minor"/>
      </rPr>
      <t>EV-HIOP-SB</t>
    </r>
    <r>
      <rPr>
        <sz val="12"/>
        <rFont val="Calibri"/>
        <family val="2"/>
        <scheme val="minor"/>
      </rPr>
      <t xml:space="preserve"> High Output wall Sounder Beacon  (F16-82051)</t>
    </r>
  </si>
  <si>
    <r>
      <rPr>
        <b/>
        <sz val="12"/>
        <rFont val="Calibri"/>
        <family val="2"/>
        <scheme val="minor"/>
      </rPr>
      <t>EV-HIOP-BCN</t>
    </r>
    <r>
      <rPr>
        <sz val="12"/>
        <rFont val="Calibri"/>
        <family val="2"/>
        <scheme val="minor"/>
      </rPr>
      <t xml:space="preserve"> High Output wall Beacon  (F16-82056)</t>
    </r>
  </si>
  <si>
    <r>
      <rPr>
        <b/>
        <sz val="12"/>
        <rFont val="Calibri"/>
        <family val="2"/>
        <scheme val="minor"/>
      </rPr>
      <t>EV-HIOP-SDR</t>
    </r>
    <r>
      <rPr>
        <sz val="12"/>
        <rFont val="Calibri"/>
        <family val="2"/>
        <scheme val="minor"/>
      </rPr>
      <t xml:space="preserve"> High Output wall Sounder  (F16-82061)</t>
    </r>
  </si>
  <si>
    <r>
      <rPr>
        <b/>
        <sz val="12"/>
        <rFont val="Calibri"/>
        <family val="2"/>
        <scheme val="minor"/>
      </rPr>
      <t>EV-AV2</t>
    </r>
    <r>
      <rPr>
        <sz val="12"/>
        <rFont val="Calibri"/>
        <family val="2"/>
        <scheme val="minor"/>
      </rPr>
      <t xml:space="preserve"> Sounder/Beacon (50mS flash) Default setting  (F14-85012)</t>
    </r>
  </si>
  <si>
    <r>
      <rPr>
        <b/>
        <sz val="12"/>
        <rFont val="Calibri"/>
        <family val="2"/>
        <scheme val="minor"/>
      </rPr>
      <t>EV-AV2</t>
    </r>
    <r>
      <rPr>
        <sz val="12"/>
        <rFont val="Calibri"/>
        <family val="2"/>
        <scheme val="minor"/>
      </rPr>
      <t xml:space="preserve"> Sounder/Beacon  (High flash rate, sw4 = on)  (F14-85012)</t>
    </r>
  </si>
  <si>
    <r>
      <rPr>
        <b/>
        <sz val="12"/>
        <rFont val="Calibri"/>
        <family val="2"/>
        <scheme val="minor"/>
      </rPr>
      <t>EV-AV2 Base</t>
    </r>
    <r>
      <rPr>
        <sz val="12"/>
        <rFont val="Calibri"/>
        <family val="2"/>
        <scheme val="minor"/>
      </rPr>
      <t xml:space="preserve"> Sounder/Beacon Base (50mS flash) Default setting  (F14-85011)</t>
    </r>
  </si>
  <si>
    <r>
      <rPr>
        <b/>
        <sz val="12"/>
        <rFont val="Calibri"/>
        <family val="2"/>
        <scheme val="minor"/>
      </rPr>
      <t>EV-AV2 Base</t>
    </r>
    <r>
      <rPr>
        <sz val="12"/>
        <rFont val="Calibri"/>
        <family val="2"/>
        <scheme val="minor"/>
      </rPr>
      <t xml:space="preserve"> Sounder/Beacon Base (High flash rate, sw4 = on)  (F14-85011)</t>
    </r>
  </si>
  <si>
    <r>
      <rPr>
        <b/>
        <sz val="12"/>
        <rFont val="Calibri"/>
        <family val="2"/>
        <scheme val="minor"/>
      </rPr>
      <t>EV-PSBCN</t>
    </r>
    <r>
      <rPr>
        <sz val="12"/>
        <rFont val="Calibri"/>
        <family val="2"/>
        <scheme val="minor"/>
      </rPr>
      <t xml:space="preserve"> Beacon Base (for EV-PS) (F16-82016)</t>
    </r>
  </si>
  <si>
    <r>
      <rPr>
        <b/>
        <sz val="12"/>
        <rFont val="Calibri"/>
        <family val="2"/>
        <scheme val="minor"/>
      </rPr>
      <t>EV-PYSVAD</t>
    </r>
    <r>
      <rPr>
        <sz val="12"/>
        <rFont val="Calibri"/>
        <family val="2"/>
        <scheme val="minor"/>
      </rPr>
      <t xml:space="preserve">  VAD Base (for EV-PYS)  (F16-82150)</t>
    </r>
  </si>
  <si>
    <r>
      <rPr>
        <b/>
        <sz val="12"/>
        <rFont val="Calibri"/>
        <family val="2"/>
        <scheme val="minor"/>
      </rPr>
      <t>EV-24VRL</t>
    </r>
    <r>
      <rPr>
        <sz val="12"/>
        <rFont val="Calibri"/>
        <family val="2"/>
        <scheme val="minor"/>
      </rPr>
      <t xml:space="preserve"> Addressable Relay Base  (F03-82350)</t>
    </r>
  </si>
  <si>
    <r>
      <rPr>
        <b/>
        <sz val="12"/>
        <rFont val="Calibri"/>
        <family val="2"/>
        <scheme val="minor"/>
      </rPr>
      <t xml:space="preserve">EV-OP </t>
    </r>
    <r>
      <rPr>
        <sz val="12"/>
        <rFont val="Calibri"/>
        <family val="2"/>
        <scheme val="minor"/>
      </rPr>
      <t>Output Module  (F16-82027)</t>
    </r>
  </si>
  <si>
    <r>
      <rPr>
        <b/>
        <sz val="12"/>
        <rFont val="Calibri"/>
        <family val="2"/>
        <scheme val="minor"/>
      </rPr>
      <t>EV-IP</t>
    </r>
    <r>
      <rPr>
        <sz val="12"/>
        <rFont val="Calibri"/>
        <family val="2"/>
        <scheme val="minor"/>
      </rPr>
      <t xml:space="preserve"> Input Module  (F16-82033)</t>
    </r>
  </si>
  <si>
    <r>
      <rPr>
        <b/>
        <sz val="12"/>
        <rFont val="Calibri"/>
        <family val="2"/>
        <scheme val="minor"/>
      </rPr>
      <t>EV-SIO</t>
    </r>
    <r>
      <rPr>
        <sz val="12"/>
        <rFont val="Calibri"/>
        <family val="2"/>
        <scheme val="minor"/>
      </rPr>
      <t xml:space="preserve"> Single Input/Output module  (F16-82031)</t>
    </r>
  </si>
  <si>
    <r>
      <rPr>
        <b/>
        <sz val="12"/>
        <rFont val="Calibri"/>
        <family val="2"/>
        <scheme val="minor"/>
      </rPr>
      <t>EV-SCM</t>
    </r>
    <r>
      <rPr>
        <sz val="12"/>
        <rFont val="Calibri"/>
        <family val="2"/>
        <scheme val="minor"/>
      </rPr>
      <t xml:space="preserve"> Sounder Control Module (F16-82029)</t>
    </r>
  </si>
  <si>
    <r>
      <rPr>
        <b/>
        <sz val="12"/>
        <rFont val="Calibri"/>
        <family val="2"/>
        <scheme val="minor"/>
      </rPr>
      <t>EV-ZMU</t>
    </r>
    <r>
      <rPr>
        <sz val="12"/>
        <rFont val="Calibri"/>
        <family val="2"/>
        <scheme val="minor"/>
      </rPr>
      <t xml:space="preserve"> Zone Monitor Module Class B inputs  (F16-82023)</t>
    </r>
  </si>
  <si>
    <r>
      <rPr>
        <b/>
        <sz val="12"/>
        <rFont val="Calibri"/>
        <family val="2"/>
        <scheme val="minor"/>
      </rPr>
      <t>EV-ZMU</t>
    </r>
    <r>
      <rPr>
        <sz val="12"/>
        <rFont val="Calibri"/>
        <family val="2"/>
        <scheme val="minor"/>
      </rPr>
      <t xml:space="preserve"> Zone Monitor Module Class A inputs  (F16-82023)</t>
    </r>
  </si>
  <si>
    <r>
      <rPr>
        <b/>
        <sz val="12"/>
        <rFont val="Calibri"/>
        <family val="2"/>
        <scheme val="minor"/>
      </rPr>
      <t xml:space="preserve">EV-SBM </t>
    </r>
    <r>
      <rPr>
        <sz val="12"/>
        <rFont val="Calibri"/>
        <family val="2"/>
        <scheme val="minor"/>
      </rPr>
      <t>Sounder Booster Module  (F16-82028)</t>
    </r>
  </si>
  <si>
    <r>
      <rPr>
        <b/>
        <sz val="12"/>
        <rFont val="Calibri"/>
        <family val="2"/>
        <scheme val="minor"/>
      </rPr>
      <t>EV-MINI I/P</t>
    </r>
    <r>
      <rPr>
        <sz val="12"/>
        <rFont val="Calibri"/>
        <family val="2"/>
        <scheme val="minor"/>
      </rPr>
      <t xml:space="preserve"> Mini Input Module   (F16-82025)</t>
    </r>
  </si>
  <si>
    <r>
      <rPr>
        <b/>
        <sz val="12"/>
        <rFont val="Calibri"/>
        <family val="2"/>
        <scheme val="minor"/>
      </rPr>
      <t>EV-OP2</t>
    </r>
    <r>
      <rPr>
        <sz val="12"/>
        <rFont val="Calibri"/>
        <family val="2"/>
        <scheme val="minor"/>
      </rPr>
      <t xml:space="preserve"> Single Output module  (F16-82285)</t>
    </r>
  </si>
  <si>
    <r>
      <rPr>
        <b/>
        <sz val="12"/>
        <rFont val="Calibri"/>
        <family val="2"/>
        <scheme val="minor"/>
      </rPr>
      <t>EV-IP2</t>
    </r>
    <r>
      <rPr>
        <sz val="12"/>
        <rFont val="Calibri"/>
        <family val="2"/>
        <scheme val="minor"/>
      </rPr>
      <t xml:space="preserve"> Dual Input module  (F16-82280)</t>
    </r>
  </si>
  <si>
    <r>
      <rPr>
        <b/>
        <sz val="12"/>
        <rFont val="Calibri"/>
        <family val="2"/>
        <scheme val="minor"/>
      </rPr>
      <t>EV-2I1O</t>
    </r>
    <r>
      <rPr>
        <sz val="12"/>
        <rFont val="Calibri"/>
        <family val="2"/>
        <scheme val="minor"/>
      </rPr>
      <t xml:space="preserve"> Dual Input/Single Output module +SCI   (F16-82260)</t>
    </r>
  </si>
  <si>
    <r>
      <rPr>
        <b/>
        <sz val="12"/>
        <rFont val="Calibri"/>
        <family val="2"/>
        <scheme val="minor"/>
      </rPr>
      <t>EV-3IO</t>
    </r>
    <r>
      <rPr>
        <sz val="12"/>
        <rFont val="Calibri"/>
        <family val="2"/>
        <scheme val="minor"/>
      </rPr>
      <t xml:space="preserve"> Triple Input/Output module +SCI  (F16-82265)</t>
    </r>
  </si>
  <si>
    <t>SCI R Sum</t>
  </si>
  <si>
    <r>
      <rPr>
        <b/>
        <sz val="12"/>
        <rFont val="Calibri"/>
        <family val="2"/>
        <scheme val="minor"/>
      </rPr>
      <t>EV-IO-420</t>
    </r>
    <r>
      <rPr>
        <sz val="12"/>
        <rFont val="Calibri"/>
        <family val="2"/>
        <scheme val="minor"/>
      </rPr>
      <t xml:space="preserve"> 4-20mA Input/Relay Output module +SCI  (F16-82265)</t>
    </r>
  </si>
  <si>
    <r>
      <rPr>
        <b/>
        <sz val="12"/>
        <rFont val="Calibri"/>
        <family val="2"/>
        <scheme val="minor"/>
      </rPr>
      <t xml:space="preserve">EV-SCM2 </t>
    </r>
    <r>
      <rPr>
        <sz val="12"/>
        <rFont val="Calibri"/>
        <family val="2"/>
        <scheme val="minor"/>
      </rPr>
      <t>Dual Output Sounder Control Module +SCI  (F16-82267)</t>
    </r>
  </si>
  <si>
    <r>
      <rPr>
        <b/>
        <sz val="12"/>
        <rFont val="Calibri"/>
        <family val="2"/>
        <scheme val="minor"/>
      </rPr>
      <t>EV-ZMU2</t>
    </r>
    <r>
      <rPr>
        <sz val="12"/>
        <rFont val="Calibri"/>
        <family val="2"/>
        <scheme val="minor"/>
      </rPr>
      <t xml:space="preserve"> Dual Input Zone Monitor Module +SCI Class B inputs  (F16-82268)</t>
    </r>
  </si>
  <si>
    <r>
      <rPr>
        <b/>
        <sz val="12"/>
        <rFont val="Calibri"/>
        <family val="2"/>
        <scheme val="minor"/>
      </rPr>
      <t>EV-ZMU2</t>
    </r>
    <r>
      <rPr>
        <sz val="12"/>
        <rFont val="Calibri"/>
        <family val="2"/>
        <scheme val="minor"/>
      </rPr>
      <t xml:space="preserve"> Dual Input Zone Monitor Module +SCI Class A inputs  (F16-82268)</t>
    </r>
  </si>
  <si>
    <r>
      <rPr>
        <b/>
        <sz val="12"/>
        <rFont val="Calibri"/>
        <family val="2"/>
        <scheme val="minor"/>
      </rPr>
      <t>EV-Mini IP2</t>
    </r>
    <r>
      <rPr>
        <sz val="12"/>
        <rFont val="Calibri"/>
        <family val="2"/>
        <scheme val="minor"/>
      </rPr>
      <t xml:space="preserve"> Miniature Input module with SCI  (F16-82250)</t>
    </r>
  </si>
  <si>
    <r>
      <rPr>
        <b/>
        <sz val="12"/>
        <rFont val="Calibri"/>
        <family val="2"/>
        <scheme val="minor"/>
      </rPr>
      <t>EV-LASD1</t>
    </r>
    <r>
      <rPr>
        <sz val="12"/>
        <rFont val="Calibri"/>
        <family val="2"/>
        <scheme val="minor"/>
      </rPr>
      <t xml:space="preserve"> Aspirating Detector  (F16-83200)</t>
    </r>
  </si>
  <si>
    <r>
      <rPr>
        <b/>
        <sz val="12"/>
        <rFont val="Calibri"/>
        <family val="2"/>
        <scheme val="minor"/>
      </rPr>
      <t>EV-LASD2</t>
    </r>
    <r>
      <rPr>
        <sz val="12"/>
        <rFont val="Calibri"/>
        <family val="2"/>
        <scheme val="minor"/>
      </rPr>
      <t xml:space="preserve"> Aspirating Detector  (F16-83210)</t>
    </r>
  </si>
  <si>
    <r>
      <rPr>
        <b/>
        <sz val="12"/>
        <rFont val="Calibri"/>
        <family val="2"/>
        <scheme val="minor"/>
      </rPr>
      <t xml:space="preserve">EV-Firebeam + </t>
    </r>
    <r>
      <rPr>
        <sz val="12"/>
        <rFont val="Calibri"/>
        <family val="2"/>
        <scheme val="minor"/>
      </rPr>
      <t>Optical beam Detector  (F16-83000)</t>
    </r>
  </si>
  <si>
    <t>STA-R1 Remote Indicator  (F05-83205)</t>
  </si>
  <si>
    <t>Nittan Evolution  Battery and loop Calculation Spreadsheet Tool (Iss4)</t>
  </si>
  <si>
    <t>Select Panel Model</t>
  </si>
  <si>
    <t>Control panels</t>
  </si>
  <si>
    <t>Line impedance</t>
  </si>
  <si>
    <t>Evolution 1</t>
  </si>
  <si>
    <t>EVO+ 5101</t>
  </si>
  <si>
    <t>EVO+5201</t>
  </si>
  <si>
    <t>EVO+5202</t>
  </si>
  <si>
    <t>EVO+5401</t>
  </si>
  <si>
    <t>EVO+5402</t>
  </si>
  <si>
    <t>EVO+5403</t>
  </si>
  <si>
    <t>EVO+5404</t>
  </si>
  <si>
    <t>Driver imp</t>
  </si>
  <si>
    <t>Evolution 1 has 8 leds active in alarm, For EVO+ set value accordingly 1-10 (5 default)</t>
  </si>
  <si>
    <t xml:space="preserve">Maximum No of leds Active in alarm </t>
  </si>
  <si>
    <t>Evolution 1 &amp; EVO+ panels only. set max number of LEDs in alarm</t>
  </si>
  <si>
    <t>Evolution 1 &amp; EVO+ panels only .set max number of LEDs in alarm</t>
  </si>
  <si>
    <r>
      <rPr>
        <b/>
        <sz val="12"/>
        <rFont val="Calibri"/>
        <family val="2"/>
        <scheme val="minor"/>
      </rPr>
      <t xml:space="preserve">UB-6-SL-EV  </t>
    </r>
    <r>
      <rPr>
        <sz val="12"/>
        <rFont val="Calibri"/>
        <family val="2"/>
        <scheme val="minor"/>
      </rPr>
      <t>Sliding link base for use with Isolator detectors (F03-83560)</t>
    </r>
  </si>
  <si>
    <r>
      <rPr>
        <b/>
        <sz val="12"/>
        <rFont val="Calibri"/>
        <family val="2"/>
        <scheme val="minor"/>
      </rPr>
      <t>STB-4SE-EV</t>
    </r>
    <r>
      <rPr>
        <sz val="12"/>
        <rFont val="Calibri"/>
        <family val="2"/>
        <scheme val="minor"/>
      </rPr>
      <t xml:space="preserve"> DEEP BASE for use with Evolution detectors (F03-84005)</t>
    </r>
  </si>
  <si>
    <r>
      <rPr>
        <b/>
        <sz val="12"/>
        <rFont val="Calibri"/>
        <family val="2"/>
        <scheme val="minor"/>
      </rPr>
      <t>EV-B-SCI</t>
    </r>
    <r>
      <rPr>
        <sz val="12"/>
        <rFont val="Calibri"/>
        <family val="2"/>
        <scheme val="minor"/>
      </rPr>
      <t xml:space="preserve"> -ve Isolator Base  (F03-83605)</t>
    </r>
  </si>
  <si>
    <r>
      <rPr>
        <b/>
        <sz val="12"/>
        <rFont val="Calibri"/>
        <family val="2"/>
        <scheme val="minor"/>
      </rPr>
      <t>EV-DIN-SCI</t>
    </r>
    <r>
      <rPr>
        <sz val="12"/>
        <rFont val="Calibri"/>
        <family val="2"/>
        <scheme val="minor"/>
      </rPr>
      <t xml:space="preserve"> DIN Rail -ve Isolator  (F03-83620)</t>
    </r>
  </si>
  <si>
    <r>
      <rPr>
        <b/>
        <sz val="12"/>
        <rFont val="Calibri"/>
        <family val="2"/>
        <scheme val="minor"/>
      </rPr>
      <t>EV-ZMU2</t>
    </r>
    <r>
      <rPr>
        <sz val="12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 xml:space="preserve"> Adjust Quantity of Zone Monitor Modules in alarm condition</t>
    </r>
    <r>
      <rPr>
        <sz val="12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(0 = ALL)</t>
    </r>
  </si>
  <si>
    <r>
      <rPr>
        <b/>
        <sz val="12"/>
        <rFont val="Calibri"/>
        <family val="2"/>
        <scheme val="minor"/>
      </rPr>
      <t>EV-Firebeam Xtra-SCI</t>
    </r>
    <r>
      <rPr>
        <sz val="12"/>
        <rFont val="Calibri"/>
        <family val="2"/>
        <scheme val="minor"/>
      </rPr>
      <t xml:space="preserve"> Optical beam detector with SCI  (F16-83005)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</si>
</sst>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00"/>
    <numFmt numFmtId="166" formatCode="0.0000"/>
  </numFmts>
  <fonts count="2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Calibri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0" borderId="0"/>
    <xf numFmtId="0" fontId="19" fillId="0" borderId="0" applyNumberFormat="0" applyFill="0" applyBorder="0" applyAlignment="0" applyProtection="0"/>
  </cellStyleXfs>
  <cellXfs count="182">
    <xf numFmtId="0" fontId="0" fillId="0" borderId="0" xfId="0"/>
    <xf numFmtId="0" fontId="0" fillId="7" borderId="19" xfId="0" applyFill="1" applyBorder="1" applyProtection="1">
      <protection locked="0"/>
    </xf>
    <xf numFmtId="0" fontId="0" fillId="0" borderId="3" xfId="0" applyBorder="1"/>
    <xf numFmtId="165" fontId="0" fillId="0" borderId="3" xfId="0" applyNumberFormat="1" applyBorder="1"/>
    <xf numFmtId="165" fontId="0" fillId="9" borderId="3" xfId="0" applyNumberFormat="1" applyFill="1" applyBorder="1"/>
    <xf numFmtId="165" fontId="0" fillId="8" borderId="3" xfId="0" applyNumberFormat="1" applyFill="1" applyBorder="1" applyProtection="1">
      <protection locked="0"/>
    </xf>
    <xf numFmtId="0" fontId="14" fillId="0" borderId="3" xfId="0" applyFont="1" applyBorder="1"/>
    <xf numFmtId="166" fontId="0" fillId="8" borderId="9" xfId="0" applyNumberFormat="1" applyFill="1" applyBorder="1" applyProtection="1">
      <protection locked="0"/>
    </xf>
    <xf numFmtId="0" fontId="15" fillId="8" borderId="3" xfId="0" applyFont="1" applyFill="1" applyBorder="1" applyProtection="1">
      <protection locked="0"/>
    </xf>
    <xf numFmtId="0" fontId="17" fillId="0" borderId="3" xfId="0" applyFont="1" applyBorder="1"/>
    <xf numFmtId="0" fontId="7" fillId="0" borderId="11" xfId="3" applyFont="1" applyBorder="1" applyAlignment="1" applyProtection="1">
      <alignment horizontal="center" vertical="center"/>
      <protection locked="0"/>
    </xf>
    <xf numFmtId="0" fontId="7" fillId="5" borderId="11" xfId="1" applyFont="1" applyFill="1" applyBorder="1" applyAlignment="1" applyProtection="1">
      <alignment horizontal="center" vertical="center"/>
      <protection locked="0"/>
    </xf>
    <xf numFmtId="0" fontId="7" fillId="0" borderId="11" xfId="2" applyFont="1" applyFill="1" applyBorder="1" applyAlignment="1" applyProtection="1">
      <alignment horizontal="center" vertical="center"/>
      <protection locked="0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5" fillId="0" borderId="11" xfId="3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6" borderId="12" xfId="0" applyFont="1" applyFill="1" applyBorder="1" applyProtection="1">
      <protection locked="0"/>
    </xf>
    <xf numFmtId="0" fontId="5" fillId="0" borderId="0" xfId="3" applyFont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5" borderId="3" xfId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7" fillId="0" borderId="3" xfId="2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Border="1" applyProtection="1">
      <protection locked="0"/>
    </xf>
    <xf numFmtId="0" fontId="11" fillId="5" borderId="3" xfId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8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5" xfId="2" applyFont="1" applyFill="1" applyBorder="1" applyAlignment="1" applyProtection="1">
      <alignment horizontal="center" vertical="center"/>
    </xf>
    <xf numFmtId="0" fontId="7" fillId="5" borderId="3" xfId="1" applyFont="1" applyFill="1" applyBorder="1" applyAlignment="1" applyProtection="1">
      <alignment horizontal="center" vertical="center"/>
    </xf>
    <xf numFmtId="0" fontId="7" fillId="5" borderId="5" xfId="1" applyFont="1" applyFill="1" applyBorder="1" applyAlignment="1" applyProtection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" xfId="2" applyFont="1" applyFill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9" xfId="2" applyFont="1" applyFill="1" applyBorder="1" applyAlignment="1" applyProtection="1">
      <alignment horizontal="center" vertical="center"/>
    </xf>
    <xf numFmtId="0" fontId="7" fillId="5" borderId="9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/>
    </xf>
    <xf numFmtId="0" fontId="6" fillId="0" borderId="12" xfId="0" applyFont="1" applyBorder="1"/>
    <xf numFmtId="0" fontId="6" fillId="0" borderId="0" xfId="0" applyFont="1"/>
    <xf numFmtId="0" fontId="6" fillId="0" borderId="13" xfId="0" applyFont="1" applyBorder="1"/>
    <xf numFmtId="1" fontId="6" fillId="0" borderId="12" xfId="0" applyNumberFormat="1" applyFont="1" applyBorder="1"/>
    <xf numFmtId="0" fontId="5" fillId="0" borderId="0" xfId="3" applyFont="1" applyAlignment="1" applyProtection="1">
      <alignment horizontal="left" vertical="center"/>
      <protection locked="0"/>
    </xf>
    <xf numFmtId="0" fontId="0" fillId="7" borderId="14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7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12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7" borderId="0" xfId="0" applyFill="1" applyProtection="1"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165" fontId="0" fillId="0" borderId="3" xfId="0" applyNumberFormat="1" applyBorder="1" applyProtection="1">
      <protection locked="0"/>
    </xf>
    <xf numFmtId="0" fontId="12" fillId="7" borderId="19" xfId="0" applyFont="1" applyFill="1" applyBorder="1" applyProtection="1">
      <protection locked="0"/>
    </xf>
    <xf numFmtId="0" fontId="17" fillId="0" borderId="3" xfId="0" applyFont="1" applyBorder="1" applyProtection="1">
      <protection locked="0"/>
    </xf>
    <xf numFmtId="0" fontId="12" fillId="7" borderId="19" xfId="0" applyFont="1" applyFill="1" applyBorder="1" applyAlignment="1" applyProtection="1">
      <alignment horizontal="center"/>
      <protection locked="0"/>
    </xf>
    <xf numFmtId="166" fontId="0" fillId="7" borderId="19" xfId="0" applyNumberFormat="1" applyFill="1" applyBorder="1" applyProtection="1">
      <protection locked="0"/>
    </xf>
    <xf numFmtId="49" fontId="0" fillId="0" borderId="0" xfId="0" applyNumberFormat="1" applyProtection="1">
      <protection locked="0"/>
    </xf>
    <xf numFmtId="165" fontId="13" fillId="0" borderId="3" xfId="0" applyNumberFormat="1" applyFont="1" applyBorder="1" applyProtection="1">
      <protection locked="0"/>
    </xf>
    <xf numFmtId="166" fontId="0" fillId="0" borderId="3" xfId="0" applyNumberFormat="1" applyBorder="1" applyProtection="1">
      <protection locked="0"/>
    </xf>
    <xf numFmtId="166" fontId="0" fillId="0" borderId="9" xfId="0" applyNumberFormat="1" applyBorder="1" applyProtection="1">
      <protection locked="0"/>
    </xf>
    <xf numFmtId="0" fontId="15" fillId="0" borderId="3" xfId="0" applyFont="1" applyBorder="1" applyProtection="1">
      <protection locked="0"/>
    </xf>
    <xf numFmtId="166" fontId="0" fillId="10" borderId="0" xfId="0" applyNumberFormat="1" applyFill="1" applyProtection="1">
      <protection locked="0"/>
    </xf>
    <xf numFmtId="0" fontId="0" fillId="10" borderId="0" xfId="0" applyFill="1" applyProtection="1">
      <protection locked="0"/>
    </xf>
    <xf numFmtId="166" fontId="0" fillId="10" borderId="20" xfId="0" applyNumberFormat="1" applyFill="1" applyBorder="1" applyProtection="1">
      <protection locked="0"/>
    </xf>
    <xf numFmtId="166" fontId="0" fillId="10" borderId="21" xfId="0" applyNumberFormat="1" applyFill="1" applyBorder="1" applyProtection="1">
      <protection locked="0"/>
    </xf>
    <xf numFmtId="0" fontId="16" fillId="0" borderId="5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2" fillId="0" borderId="9" xfId="0" applyFont="1" applyBorder="1" applyProtection="1">
      <protection locked="0"/>
    </xf>
    <xf numFmtId="2" fontId="12" fillId="0" borderId="9" xfId="0" applyNumberFormat="1" applyFont="1" applyBorder="1" applyProtection="1">
      <protection locked="0"/>
    </xf>
    <xf numFmtId="2" fontId="12" fillId="0" borderId="21" xfId="0" applyNumberFormat="1" applyFont="1" applyBorder="1" applyProtection="1">
      <protection locked="0"/>
    </xf>
    <xf numFmtId="0" fontId="0" fillId="0" borderId="21" xfId="0" applyBorder="1" applyAlignment="1" applyProtection="1">
      <alignment horizontal="right"/>
      <protection locked="0"/>
    </xf>
    <xf numFmtId="165" fontId="0" fillId="0" borderId="5" xfId="0" applyNumberFormat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165" fontId="0" fillId="0" borderId="21" xfId="0" applyNumberFormat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13" fillId="0" borderId="18" xfId="0" applyFont="1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2" fontId="12" fillId="11" borderId="21" xfId="0" applyNumberFormat="1" applyFont="1" applyFill="1" applyBorder="1" applyAlignment="1" applyProtection="1">
      <alignment horizontal="right"/>
      <protection locked="0"/>
    </xf>
    <xf numFmtId="0" fontId="0" fillId="7" borderId="19" xfId="0" applyFill="1" applyBorder="1" applyAlignment="1" applyProtection="1">
      <alignment horizontal="right"/>
      <protection locked="0"/>
    </xf>
    <xf numFmtId="2" fontId="12" fillId="7" borderId="19" xfId="0" applyNumberFormat="1" applyFont="1" applyFill="1" applyBorder="1" applyAlignment="1" applyProtection="1">
      <alignment horizontal="right"/>
      <protection locked="0"/>
    </xf>
    <xf numFmtId="0" fontId="0" fillId="7" borderId="24" xfId="0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0" fillId="7" borderId="26" xfId="0" applyFill="1" applyBorder="1" applyProtection="1">
      <protection locked="0"/>
    </xf>
    <xf numFmtId="0" fontId="18" fillId="12" borderId="28" xfId="0" applyFont="1" applyFill="1" applyBorder="1"/>
    <xf numFmtId="0" fontId="0" fillId="12" borderId="29" xfId="0" applyFill="1" applyBorder="1"/>
    <xf numFmtId="0" fontId="0" fillId="12" borderId="30" xfId="0" applyFill="1" applyBorder="1"/>
    <xf numFmtId="0" fontId="0" fillId="12" borderId="31" xfId="0" applyFill="1" applyBorder="1"/>
    <xf numFmtId="0" fontId="0" fillId="12" borderId="0" xfId="0" applyFill="1"/>
    <xf numFmtId="0" fontId="0" fillId="12" borderId="32" xfId="0" applyFill="1" applyBorder="1"/>
    <xf numFmtId="0" fontId="0" fillId="12" borderId="28" xfId="0" applyFill="1" applyBorder="1"/>
    <xf numFmtId="0" fontId="0" fillId="12" borderId="33" xfId="0" applyFill="1" applyBorder="1"/>
    <xf numFmtId="0" fontId="0" fillId="12" borderId="34" xfId="0" applyFill="1" applyBorder="1"/>
    <xf numFmtId="0" fontId="0" fillId="12" borderId="35" xfId="0" applyFill="1" applyBorder="1"/>
    <xf numFmtId="0" fontId="0" fillId="12" borderId="36" xfId="0" applyFill="1" applyBorder="1"/>
    <xf numFmtId="0" fontId="0" fillId="5" borderId="35" xfId="0" applyFill="1" applyBorder="1"/>
    <xf numFmtId="0" fontId="0" fillId="0" borderId="21" xfId="0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0" fillId="0" borderId="22" xfId="0" applyBorder="1"/>
    <xf numFmtId="165" fontId="0" fillId="0" borderId="21" xfId="0" applyNumberFormat="1" applyBorder="1" applyAlignment="1">
      <alignment horizontal="right"/>
    </xf>
    <xf numFmtId="0" fontId="0" fillId="0" borderId="9" xfId="0" applyBorder="1"/>
    <xf numFmtId="0" fontId="0" fillId="0" borderId="18" xfId="0" applyBorder="1"/>
    <xf numFmtId="0" fontId="13" fillId="0" borderId="18" xfId="0" applyFont="1" applyBorder="1" applyAlignment="1">
      <alignment horizontal="center"/>
    </xf>
    <xf numFmtId="165" fontId="0" fillId="0" borderId="9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2" fontId="12" fillId="11" borderId="21" xfId="0" applyNumberFormat="1" applyFont="1" applyFill="1" applyBorder="1" applyAlignment="1">
      <alignment horizontal="right"/>
    </xf>
    <xf numFmtId="165" fontId="0" fillId="0" borderId="0" xfId="0" applyNumberFormat="1" applyProtection="1">
      <protection locked="0"/>
    </xf>
    <xf numFmtId="0" fontId="20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7" fillId="4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18" xfId="3" applyFont="1" applyBorder="1"/>
    <xf numFmtId="0" fontId="7" fillId="5" borderId="18" xfId="3" applyFont="1" applyFill="1" applyBorder="1"/>
    <xf numFmtId="0" fontId="7" fillId="5" borderId="18" xfId="1" applyFont="1" applyFill="1" applyBorder="1" applyProtection="1"/>
    <xf numFmtId="0" fontId="7" fillId="0" borderId="18" xfId="2" applyFont="1" applyFill="1" applyBorder="1" applyProtection="1"/>
    <xf numFmtId="0" fontId="7" fillId="5" borderId="18" xfId="2" applyFont="1" applyFill="1" applyBorder="1" applyProtection="1"/>
    <xf numFmtId="0" fontId="5" fillId="0" borderId="18" xfId="3" applyFont="1" applyBorder="1"/>
    <xf numFmtId="0" fontId="7" fillId="0" borderId="9" xfId="3" applyFont="1" applyBorder="1"/>
    <xf numFmtId="0" fontId="12" fillId="0" borderId="3" xfId="0" applyFont="1" applyBorder="1"/>
    <xf numFmtId="0" fontId="12" fillId="0" borderId="5" xfId="0" applyFont="1" applyBorder="1"/>
    <xf numFmtId="0" fontId="0" fillId="7" borderId="0" xfId="0" applyFill="1"/>
    <xf numFmtId="0" fontId="16" fillId="0" borderId="5" xfId="0" applyFont="1" applyBorder="1"/>
    <xf numFmtId="0" fontId="12" fillId="8" borderId="3" xfId="0" applyFont="1" applyFill="1" applyBorder="1" applyProtection="1">
      <protection locked="0"/>
    </xf>
    <xf numFmtId="0" fontId="5" fillId="0" borderId="37" xfId="3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5" fillId="4" borderId="1" xfId="3" applyFont="1" applyFill="1" applyBorder="1" applyAlignment="1">
      <alignment horizontal="left" vertical="center" wrapText="1"/>
    </xf>
    <xf numFmtId="0" fontId="5" fillId="14" borderId="1" xfId="3" applyFont="1" applyFill="1" applyBorder="1" applyAlignment="1" applyProtection="1">
      <alignment horizontal="center" vertical="center" wrapText="1"/>
      <protection locked="0"/>
    </xf>
    <xf numFmtId="0" fontId="8" fillId="14" borderId="1" xfId="0" applyFont="1" applyFill="1" applyBorder="1" applyAlignment="1" applyProtection="1">
      <alignment horizontal="center" vertical="center"/>
      <protection locked="0"/>
    </xf>
    <xf numFmtId="0" fontId="9" fillId="14" borderId="1" xfId="0" applyFont="1" applyFill="1" applyBorder="1" applyAlignment="1" applyProtection="1">
      <alignment horizontal="center" vertical="center"/>
      <protection locked="0"/>
    </xf>
    <xf numFmtId="0" fontId="5" fillId="14" borderId="2" xfId="3" applyFont="1" applyFill="1" applyBorder="1" applyAlignment="1" applyProtection="1">
      <alignment horizontal="center" vertical="center" wrapText="1"/>
      <protection locked="0"/>
    </xf>
    <xf numFmtId="0" fontId="8" fillId="14" borderId="2" xfId="0" applyFont="1" applyFill="1" applyBorder="1" applyAlignment="1" applyProtection="1">
      <alignment horizontal="center" vertical="center"/>
      <protection locked="0"/>
    </xf>
    <xf numFmtId="0" fontId="9" fillId="14" borderId="2" xfId="0" applyFont="1" applyFill="1" applyBorder="1" applyAlignment="1" applyProtection="1">
      <alignment horizontal="center" vertical="center"/>
      <protection locked="0"/>
    </xf>
    <xf numFmtId="0" fontId="8" fillId="14" borderId="6" xfId="0" applyFont="1" applyFill="1" applyBorder="1" applyAlignment="1" applyProtection="1">
      <alignment horizontal="center" vertical="center"/>
      <protection locked="0"/>
    </xf>
    <xf numFmtId="0" fontId="22" fillId="0" borderId="10" xfId="3" applyFont="1" applyBorder="1" applyAlignment="1" applyProtection="1">
      <alignment horizontal="center" vertical="center" wrapText="1"/>
      <protection locked="0"/>
    </xf>
    <xf numFmtId="0" fontId="5" fillId="15" borderId="18" xfId="3" applyFont="1" applyFill="1" applyBorder="1"/>
    <xf numFmtId="0" fontId="5" fillId="15" borderId="18" xfId="2" applyFont="1" applyFill="1" applyBorder="1" applyProtection="1"/>
    <xf numFmtId="0" fontId="6" fillId="14" borderId="12" xfId="0" applyFont="1" applyFill="1" applyBorder="1" applyProtection="1">
      <protection locked="0"/>
    </xf>
    <xf numFmtId="0" fontId="6" fillId="14" borderId="0" xfId="0" applyFont="1" applyFill="1" applyProtection="1">
      <protection locked="0"/>
    </xf>
    <xf numFmtId="0" fontId="5" fillId="4" borderId="2" xfId="3" applyFont="1" applyFill="1" applyBorder="1" applyAlignment="1" applyProtection="1">
      <alignment horizontal="left" vertical="center"/>
      <protection locked="0"/>
    </xf>
    <xf numFmtId="0" fontId="5" fillId="13" borderId="22" xfId="3" applyFont="1" applyFill="1" applyBorder="1" applyAlignment="1">
      <alignment horizontal="left" vertical="center" wrapText="1"/>
    </xf>
    <xf numFmtId="0" fontId="5" fillId="4" borderId="6" xfId="3" applyFont="1" applyFill="1" applyBorder="1" applyAlignment="1">
      <alignment horizontal="right" vertical="center" wrapText="1" indent="1"/>
    </xf>
    <xf numFmtId="0" fontId="23" fillId="5" borderId="35" xfId="4" applyFont="1" applyFill="1" applyBorder="1" applyProtection="1"/>
    <xf numFmtId="0" fontId="23" fillId="5" borderId="36" xfId="4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3" fillId="12" borderId="35" xfId="4" applyFont="1" applyFill="1" applyBorder="1" applyAlignment="1" applyProtection="1">
      <alignment horizontal="center"/>
    </xf>
    <xf numFmtId="2" fontId="23" fillId="5" borderId="35" xfId="4" applyNumberFormat="1" applyFont="1" applyFill="1" applyBorder="1" applyAlignment="1" applyProtection="1">
      <alignment horizontal="center"/>
    </xf>
    <xf numFmtId="1" fontId="23" fillId="16" borderId="35" xfId="4" applyNumberFormat="1" applyFont="1" applyFill="1" applyBorder="1" applyAlignment="1" applyProtection="1">
      <alignment horizontal="center"/>
    </xf>
    <xf numFmtId="2" fontId="24" fillId="0" borderId="0" xfId="0" applyNumberFormat="1" applyFont="1" applyAlignment="1">
      <alignment horizontal="center"/>
    </xf>
    <xf numFmtId="0" fontId="12" fillId="8" borderId="7" xfId="0" applyFon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13" fillId="8" borderId="7" xfId="0" applyFont="1" applyFill="1" applyBorder="1" applyProtection="1">
      <protection locked="0"/>
    </xf>
    <xf numFmtId="164" fontId="0" fillId="8" borderId="7" xfId="0" applyNumberFormat="1" applyFill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7" borderId="27" xfId="0" applyFill="1" applyBorder="1" applyProtection="1">
      <protection locked="0"/>
    </xf>
    <xf numFmtId="0" fontId="0" fillId="0" borderId="0" xfId="0" applyProtection="1">
      <protection locked="0"/>
    </xf>
    <xf numFmtId="0" fontId="0" fillId="8" borderId="3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8" fillId="14" borderId="1" xfId="0" applyFont="1" applyFill="1" applyBorder="1" applyAlignment="1" applyProtection="1">
      <alignment horizontal="center" vertical="center" wrapText="1"/>
      <protection locked="0"/>
    </xf>
    <xf numFmtId="0" fontId="0" fillId="14" borderId="2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</cellXfs>
  <cellStyles count="5">
    <cellStyle name="Bad" xfId="1" builtinId="27"/>
    <cellStyle name="Good" xfId="2" builtinId="26"/>
    <cellStyle name="Hyperlink" xfId="4" builtinId="8"/>
    <cellStyle name="Normal" xfId="0" builtinId="0"/>
    <cellStyle name="Normal 2" xfId="3" xr:uid="{00000000-0005-0000-0000-000004000000}"/>
  </cellStyles>
  <dxfs count="68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>
          <bgColor indexed="22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</xdr:colOff>
      <xdr:row>16</xdr:row>
      <xdr:rowOff>114301</xdr:rowOff>
    </xdr:from>
    <xdr:to>
      <xdr:col>16</xdr:col>
      <xdr:colOff>131445</xdr:colOff>
      <xdr:row>21</xdr:row>
      <xdr:rowOff>59495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2020" y="3147061"/>
          <a:ext cx="731520" cy="863404"/>
        </a:xfrm>
        <a:prstGeom prst="rect">
          <a:avLst/>
        </a:prstGeom>
      </xdr:spPr>
    </xdr:pic>
    <xdr:clientData/>
  </xdr:twoCellAnchor>
  <xdr:twoCellAnchor editAs="oneCell">
    <xdr:from>
      <xdr:col>16</xdr:col>
      <xdr:colOff>403860</xdr:colOff>
      <xdr:row>17</xdr:row>
      <xdr:rowOff>106679</xdr:rowOff>
    </xdr:from>
    <xdr:to>
      <xdr:col>21</xdr:col>
      <xdr:colOff>231236</xdr:colOff>
      <xdr:row>20</xdr:row>
      <xdr:rowOff>129540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2620" y="3322319"/>
          <a:ext cx="3317336" cy="563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3291840</xdr:colOff>
      <xdr:row>0</xdr:row>
      <xdr:rowOff>53340</xdr:rowOff>
    </xdr:from>
    <xdr:to>
      <xdr:col>0</xdr:col>
      <xdr:colOff>4361719</xdr:colOff>
      <xdr:row>0</xdr:row>
      <xdr:rowOff>284967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1840" y="53340"/>
          <a:ext cx="1127029" cy="241152"/>
        </a:xfrm>
        <a:prstGeom prst="rect">
          <a:avLst/>
        </a:prstGeom>
      </xdr:spPr>
    </xdr:pic>
    <xdr:clientData/>
  </xdr:twoCellAnchor>
  <xdr:twoCellAnchor editAs="oneCell">
    <xdr:from>
      <xdr:col>5</xdr:col>
      <xdr:colOff>1023879</xdr:colOff>
      <xdr:row>83</xdr:row>
      <xdr:rowOff>1176</xdr:rowOff>
    </xdr:from>
    <xdr:to>
      <xdr:col>10</xdr:col>
      <xdr:colOff>477377</xdr:colOff>
      <xdr:row>87</xdr:row>
      <xdr:rowOff>132050</xdr:rowOff>
    </xdr:to>
    <xdr:pic>
      <xdr:nvPicPr>
        <xdr:cNvPr id="3" name="図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0175" y="16440620"/>
          <a:ext cx="4521739" cy="9851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3291840</xdr:colOff>
      <xdr:row>0</xdr:row>
      <xdr:rowOff>53340</xdr:rowOff>
    </xdr:from>
    <xdr:to>
      <xdr:col>0</xdr:col>
      <xdr:colOff>4361719</xdr:colOff>
      <xdr:row>0</xdr:row>
      <xdr:rowOff>284967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E3E875D8-DB9D-4A83-8457-060D43EF4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57150"/>
          <a:ext cx="1069879" cy="231627"/>
        </a:xfrm>
        <a:prstGeom prst="rect">
          <a:avLst/>
        </a:prstGeom>
      </xdr:spPr>
    </xdr:pic>
    <xdr:clientData/>
  </xdr:twoCellAnchor>
  <xdr:twoCellAnchor editAs="oneCell">
    <xdr:from>
      <xdr:col>5</xdr:col>
      <xdr:colOff>1023879</xdr:colOff>
      <xdr:row>83</xdr:row>
      <xdr:rowOff>1176</xdr:rowOff>
    </xdr:from>
    <xdr:to>
      <xdr:col>10</xdr:col>
      <xdr:colOff>477377</xdr:colOff>
      <xdr:row>87</xdr:row>
      <xdr:rowOff>132050</xdr:rowOff>
    </xdr:to>
    <xdr:pic>
      <xdr:nvPicPr>
        <xdr:cNvPr id="3" name="図 8">
          <a:extLst>
            <a:ext uri="{FF2B5EF4-FFF2-40B4-BE49-F238E27FC236}">
              <a16:creationId xmlns:a16="http://schemas.microsoft.com/office/drawing/2014/main" id="{9E01D7F2-29D0-466B-BCFD-A40C781E9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0274" y="16441326"/>
          <a:ext cx="4537943" cy="9728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3291840</xdr:colOff>
      <xdr:row>0</xdr:row>
      <xdr:rowOff>53340</xdr:rowOff>
    </xdr:from>
    <xdr:to>
      <xdr:col>0</xdr:col>
      <xdr:colOff>4365529</xdr:colOff>
      <xdr:row>0</xdr:row>
      <xdr:rowOff>288777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7AC31E06-14D7-41D1-B0B3-ABCA0D417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57150"/>
          <a:ext cx="1069879" cy="231627"/>
        </a:xfrm>
        <a:prstGeom prst="rect">
          <a:avLst/>
        </a:prstGeom>
      </xdr:spPr>
    </xdr:pic>
    <xdr:clientData/>
  </xdr:twoCellAnchor>
  <xdr:twoCellAnchor editAs="oneCell">
    <xdr:from>
      <xdr:col>5</xdr:col>
      <xdr:colOff>1023879</xdr:colOff>
      <xdr:row>83</xdr:row>
      <xdr:rowOff>1176</xdr:rowOff>
    </xdr:from>
    <xdr:to>
      <xdr:col>10</xdr:col>
      <xdr:colOff>473567</xdr:colOff>
      <xdr:row>87</xdr:row>
      <xdr:rowOff>135860</xdr:rowOff>
    </xdr:to>
    <xdr:pic>
      <xdr:nvPicPr>
        <xdr:cNvPr id="3" name="図 8">
          <a:extLst>
            <a:ext uri="{FF2B5EF4-FFF2-40B4-BE49-F238E27FC236}">
              <a16:creationId xmlns:a16="http://schemas.microsoft.com/office/drawing/2014/main" id="{9B3B75BD-F98C-4FB5-A086-9FB1428C4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0274" y="16441326"/>
          <a:ext cx="4537943" cy="9728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3291840</xdr:colOff>
      <xdr:row>0</xdr:row>
      <xdr:rowOff>53340</xdr:rowOff>
    </xdr:from>
    <xdr:to>
      <xdr:col>0</xdr:col>
      <xdr:colOff>4365529</xdr:colOff>
      <xdr:row>0</xdr:row>
      <xdr:rowOff>288777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003A2089-3101-4C04-AF41-DBD99B127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57150"/>
          <a:ext cx="1069879" cy="231627"/>
        </a:xfrm>
        <a:prstGeom prst="rect">
          <a:avLst/>
        </a:prstGeom>
      </xdr:spPr>
    </xdr:pic>
    <xdr:clientData/>
  </xdr:twoCellAnchor>
  <xdr:twoCellAnchor editAs="oneCell">
    <xdr:from>
      <xdr:col>5</xdr:col>
      <xdr:colOff>1023879</xdr:colOff>
      <xdr:row>83</xdr:row>
      <xdr:rowOff>1176</xdr:rowOff>
    </xdr:from>
    <xdr:to>
      <xdr:col>10</xdr:col>
      <xdr:colOff>473567</xdr:colOff>
      <xdr:row>87</xdr:row>
      <xdr:rowOff>135860</xdr:rowOff>
    </xdr:to>
    <xdr:pic>
      <xdr:nvPicPr>
        <xdr:cNvPr id="3" name="図 8">
          <a:extLst>
            <a:ext uri="{FF2B5EF4-FFF2-40B4-BE49-F238E27FC236}">
              <a16:creationId xmlns:a16="http://schemas.microsoft.com/office/drawing/2014/main" id="{9FD3013A-32B6-4268-8C6A-E9FCD19EA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0274" y="16441326"/>
          <a:ext cx="4537943" cy="9728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D22" totalsRowShown="0" headerRowDxfId="67" dataDxfId="66">
  <autoFilter ref="A5:D22" xr:uid="{00000000-0009-0000-0100-000001000000}"/>
  <tableColumns count="4">
    <tableColumn id="1" xr3:uid="{00000000-0010-0000-0000-000001000000}" name="Cable manufacturer" dataDxfId="65"/>
    <tableColumn id="3" xr3:uid="{00000000-0010-0000-0000-000003000000}" name="Resistance (per Core)" dataDxfId="64"/>
    <tableColumn id="4" xr3:uid="{00000000-0010-0000-0000-000004000000}" name="Inductance (per Core)" dataDxfId="63"/>
    <tableColumn id="5" xr3:uid="{00000000-0010-0000-0000-000005000000}" name="Capacitance (Core to Core)" dataDxfId="6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B89C41-667C-4D61-881A-FA1AD1FB33F3}" name="Table3" displayName="Table3" ref="A25:B33" totalsRowShown="0">
  <autoFilter ref="A25:B33" xr:uid="{F4B89C41-667C-4D61-881A-FA1AD1FB33F3}"/>
  <tableColumns count="2">
    <tableColumn id="1" xr3:uid="{96E6A686-14BF-4D96-B0DE-0D854FA5DC32}" name="Control panels"/>
    <tableColumn id="2" xr3:uid="{CB79C941-44E3-4D8B-B981-3D18187D2298}" name="Line impedanc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"/>
  <sheetViews>
    <sheetView workbookViewId="0">
      <selection activeCell="C2" sqref="C2:H2"/>
    </sheetView>
  </sheetViews>
  <sheetFormatPr defaultColWidth="8.88671875" defaultRowHeight="14.4" x14ac:dyDescent="0.3"/>
  <cols>
    <col min="1" max="1" width="8.88671875" style="20"/>
    <col min="2" max="2" width="24.6640625" style="20" customWidth="1"/>
    <col min="3" max="3" width="28.44140625" style="20" customWidth="1"/>
    <col min="4" max="9" width="8.88671875" style="20"/>
    <col min="10" max="10" width="8.88671875" style="20" customWidth="1"/>
    <col min="11" max="11" width="8.88671875" style="20" hidden="1" customWidth="1"/>
    <col min="12" max="12" width="14.33203125" style="20" hidden="1" customWidth="1"/>
    <col min="13" max="15" width="8.88671875" style="20" hidden="1" customWidth="1"/>
    <col min="16" max="16" width="8.88671875" style="20"/>
    <col min="17" max="17" width="10.109375" style="20" customWidth="1"/>
    <col min="18" max="18" width="8.88671875" style="20"/>
    <col min="19" max="19" width="9.21875" style="20" customWidth="1"/>
    <col min="20" max="20" width="8.88671875" style="20"/>
    <col min="21" max="21" width="13.88671875" style="20" customWidth="1"/>
    <col min="22" max="16384" width="8.88671875" style="20"/>
  </cols>
  <sheetData>
    <row r="1" spans="1:22" x14ac:dyDescent="0.3">
      <c r="A1" s="56"/>
      <c r="B1" s="57"/>
      <c r="C1" s="57"/>
      <c r="D1" s="57"/>
      <c r="E1" s="57"/>
      <c r="F1" s="57"/>
      <c r="G1" s="57"/>
      <c r="H1" s="57"/>
      <c r="I1" s="58"/>
    </row>
    <row r="2" spans="1:22" ht="15" thickBot="1" x14ac:dyDescent="0.35">
      <c r="A2" s="59"/>
      <c r="B2" s="135" t="s">
        <v>41</v>
      </c>
      <c r="C2" s="168"/>
      <c r="D2" s="169"/>
      <c r="E2" s="169"/>
      <c r="F2" s="169"/>
      <c r="G2" s="169"/>
      <c r="H2" s="170"/>
      <c r="I2" s="1"/>
    </row>
    <row r="3" spans="1:22" ht="15" thickTop="1" x14ac:dyDescent="0.3">
      <c r="A3" s="59"/>
      <c r="B3" s="136" t="s">
        <v>42</v>
      </c>
      <c r="C3" s="171"/>
      <c r="D3" s="169"/>
      <c r="E3" s="170"/>
      <c r="F3" s="61" t="s">
        <v>43</v>
      </c>
      <c r="G3" s="172">
        <v>45498</v>
      </c>
      <c r="H3" s="173"/>
      <c r="I3" s="1"/>
      <c r="P3" s="101" t="s">
        <v>96</v>
      </c>
      <c r="Q3" s="102"/>
      <c r="R3" s="102"/>
      <c r="S3" s="102"/>
      <c r="T3" s="103"/>
      <c r="U3"/>
      <c r="V3"/>
    </row>
    <row r="4" spans="1:22" x14ac:dyDescent="0.3">
      <c r="A4" s="59"/>
      <c r="B4" s="137"/>
      <c r="C4" s="62"/>
      <c r="D4" s="62"/>
      <c r="E4" s="62"/>
      <c r="F4" s="62"/>
      <c r="G4" s="62"/>
      <c r="H4" s="62"/>
      <c r="I4" s="1"/>
      <c r="P4" s="104" t="s">
        <v>95</v>
      </c>
      <c r="Q4" s="105"/>
      <c r="R4" s="105"/>
      <c r="S4" s="105"/>
      <c r="T4" s="106"/>
      <c r="U4"/>
      <c r="V4"/>
    </row>
    <row r="5" spans="1:22" ht="15" thickBot="1" x14ac:dyDescent="0.35">
      <c r="A5" s="59"/>
      <c r="B5" s="135" t="s">
        <v>64</v>
      </c>
      <c r="C5" s="61"/>
      <c r="D5" s="63" t="s">
        <v>45</v>
      </c>
      <c r="E5" s="60"/>
      <c r="F5" s="61"/>
      <c r="G5" s="63" t="s">
        <v>46</v>
      </c>
      <c r="H5" s="60"/>
      <c r="I5" s="1"/>
      <c r="L5" s="20" t="s">
        <v>65</v>
      </c>
      <c r="M5" s="20" t="s">
        <v>66</v>
      </c>
      <c r="P5" s="104" t="s">
        <v>94</v>
      </c>
      <c r="Q5" s="105"/>
      <c r="R5" s="105"/>
      <c r="S5" s="105"/>
      <c r="T5" s="106"/>
      <c r="U5"/>
      <c r="V5"/>
    </row>
    <row r="6" spans="1:22" ht="15.6" thickTop="1" thickBot="1" x14ac:dyDescent="0.35">
      <c r="A6" s="59"/>
      <c r="B6" s="139">
        <v>5100</v>
      </c>
      <c r="C6" s="63" t="s">
        <v>48</v>
      </c>
      <c r="D6" s="63" t="s">
        <v>49</v>
      </c>
      <c r="E6" s="63" t="s">
        <v>50</v>
      </c>
      <c r="F6" s="63" t="s">
        <v>48</v>
      </c>
      <c r="G6" s="63" t="s">
        <v>49</v>
      </c>
      <c r="H6" s="63" t="s">
        <v>50</v>
      </c>
      <c r="I6" s="1"/>
      <c r="K6" s="20" t="s">
        <v>67</v>
      </c>
      <c r="L6" s="20">
        <v>7.1999999999999995E-2</v>
      </c>
      <c r="M6" s="20">
        <v>0.125</v>
      </c>
      <c r="O6" s="20">
        <v>4</v>
      </c>
      <c r="P6" s="107" t="s">
        <v>93</v>
      </c>
      <c r="Q6" s="102"/>
      <c r="R6" s="108">
        <f>SUM('Loop 1'!H77,'Loop 2'!H77,'Loop 3'!H77,'Loop 4'!H77)</f>
        <v>0</v>
      </c>
      <c r="S6" s="105"/>
      <c r="T6" s="106"/>
      <c r="U6"/>
      <c r="V6"/>
    </row>
    <row r="7" spans="1:22" ht="15" thickBot="1" x14ac:dyDescent="0.35">
      <c r="A7" s="59"/>
      <c r="B7" s="6" t="s">
        <v>68</v>
      </c>
      <c r="C7" s="3">
        <v>7.1999999999999995E-2</v>
      </c>
      <c r="D7" s="2">
        <v>1</v>
      </c>
      <c r="E7" s="3">
        <f>C7*D7</f>
        <v>7.1999999999999995E-2</v>
      </c>
      <c r="F7" s="3">
        <f>IF($C34="on",$M8,IF($C34="dim",$M7,IF($C34="off",$M6,10)))</f>
        <v>0.125</v>
      </c>
      <c r="G7" s="2">
        <v>1</v>
      </c>
      <c r="H7" s="3">
        <f>F7*G7</f>
        <v>0.125</v>
      </c>
      <c r="I7" s="1"/>
      <c r="K7" s="20" t="s">
        <v>69</v>
      </c>
      <c r="L7" s="20">
        <v>8.2000000000000003E-2</v>
      </c>
      <c r="M7" s="20">
        <v>0.125</v>
      </c>
      <c r="O7" s="20">
        <v>24</v>
      </c>
      <c r="P7" s="109"/>
      <c r="Q7" s="110" t="s">
        <v>107</v>
      </c>
      <c r="R7" s="110" t="s">
        <v>50</v>
      </c>
      <c r="S7" s="110" t="s">
        <v>108</v>
      </c>
      <c r="T7" s="110" t="s">
        <v>105</v>
      </c>
      <c r="U7" s="110"/>
      <c r="V7" s="111" t="s">
        <v>0</v>
      </c>
    </row>
    <row r="8" spans="1:22" ht="15" thickBot="1" x14ac:dyDescent="0.35">
      <c r="A8" s="59"/>
      <c r="B8" s="6" t="s">
        <v>52</v>
      </c>
      <c r="C8" s="4">
        <f>'Loop 1'!$D$77</f>
        <v>0</v>
      </c>
      <c r="D8" s="2">
        <v>1.25</v>
      </c>
      <c r="E8" s="3">
        <f t="shared" ref="E8:E22" si="0">C8*D8</f>
        <v>0</v>
      </c>
      <c r="F8" s="4">
        <f>'Loop 1'!$F$77</f>
        <v>2.5000000000000001E-2</v>
      </c>
      <c r="G8" s="2">
        <v>1.25</v>
      </c>
      <c r="H8" s="3">
        <f t="shared" ref="H8:H25" si="1">F8*G8</f>
        <v>3.125E-2</v>
      </c>
      <c r="I8" s="66"/>
      <c r="K8" s="20" t="s">
        <v>70</v>
      </c>
      <c r="L8" s="20">
        <v>0.10199999999999999</v>
      </c>
      <c r="M8" s="20">
        <v>0.125</v>
      </c>
      <c r="O8" s="20">
        <v>48</v>
      </c>
      <c r="P8" s="109" t="s">
        <v>101</v>
      </c>
      <c r="Q8" s="110" t="s">
        <v>102</v>
      </c>
      <c r="R8" s="110" t="s">
        <v>103</v>
      </c>
      <c r="S8" s="110" t="s">
        <v>109</v>
      </c>
      <c r="T8" s="110" t="s">
        <v>106</v>
      </c>
      <c r="U8" s="110"/>
      <c r="V8" s="111" t="s">
        <v>104</v>
      </c>
    </row>
    <row r="9" spans="1:22" ht="15" thickBot="1" x14ac:dyDescent="0.35">
      <c r="A9" s="59"/>
      <c r="B9" s="6" t="s">
        <v>71</v>
      </c>
      <c r="C9" s="3">
        <v>4.2000000000000003E-2</v>
      </c>
      <c r="D9" s="9">
        <v>1</v>
      </c>
      <c r="E9" s="3">
        <f t="shared" si="0"/>
        <v>4.2000000000000003E-2</v>
      </c>
      <c r="F9" s="3">
        <v>4.2000000000000003E-2</v>
      </c>
      <c r="G9" s="9">
        <v>1</v>
      </c>
      <c r="H9" s="3">
        <f t="shared" si="1"/>
        <v>4.2000000000000003E-2</v>
      </c>
      <c r="I9" s="68"/>
      <c r="O9" s="20">
        <v>72</v>
      </c>
      <c r="P9" s="109" t="s">
        <v>97</v>
      </c>
      <c r="Q9" s="163" t="str">
        <f>'Loop 1'!C85</f>
        <v>Loop ok</v>
      </c>
      <c r="R9" s="167">
        <f>'Loop 1'!A85</f>
        <v>1.25</v>
      </c>
      <c r="S9" s="166">
        <f>'Loop 1'!A87</f>
        <v>2000</v>
      </c>
      <c r="T9" s="161" t="str">
        <f>'Loop 1'!A81</f>
        <v>Fire Tuff (2 Core ) 1.5mm</v>
      </c>
      <c r="U9" s="112"/>
      <c r="V9" s="162">
        <f>'Loop 1'!B77</f>
        <v>0</v>
      </c>
    </row>
    <row r="10" spans="1:22" ht="15" thickBot="1" x14ac:dyDescent="0.35">
      <c r="A10" s="59"/>
      <c r="B10" s="6" t="s">
        <v>52</v>
      </c>
      <c r="C10" s="4">
        <f>IF(B6=5200,'Loop 2'!D77,IF(B6=5400,'Loop 2'!D77,0))</f>
        <v>0</v>
      </c>
      <c r="D10" s="9">
        <v>1.25</v>
      </c>
      <c r="E10" s="3">
        <f t="shared" si="0"/>
        <v>0</v>
      </c>
      <c r="F10" s="4">
        <f>IF(B6=5200,'Loop 2'!F77,IF(B6=5400,'Loop 2'!F77,0))</f>
        <v>0</v>
      </c>
      <c r="G10" s="9">
        <v>1.25</v>
      </c>
      <c r="H10" s="3">
        <f t="shared" si="1"/>
        <v>0</v>
      </c>
      <c r="I10" s="69"/>
      <c r="K10" s="20" t="s">
        <v>72</v>
      </c>
      <c r="L10" s="20">
        <v>0.02</v>
      </c>
      <c r="M10" s="20">
        <v>0.02</v>
      </c>
      <c r="P10" s="109"/>
      <c r="Q10" s="110"/>
      <c r="R10" s="110"/>
      <c r="S10" s="110"/>
      <c r="T10" s="110"/>
      <c r="U10" s="110"/>
      <c r="V10" s="111"/>
    </row>
    <row r="11" spans="1:22" ht="15" thickBot="1" x14ac:dyDescent="0.35">
      <c r="A11" s="59"/>
      <c r="B11" s="6" t="s">
        <v>73</v>
      </c>
      <c r="C11" s="3">
        <f>IF(B6=5200,0.042,IF(B6=5400,0.042,0))</f>
        <v>0</v>
      </c>
      <c r="D11" s="67">
        <v>1</v>
      </c>
      <c r="E11" s="3">
        <f t="shared" si="0"/>
        <v>0</v>
      </c>
      <c r="F11" s="3">
        <f>IF(B6=5200,0.042,IF(B6=5400,0.042,0))</f>
        <v>0</v>
      </c>
      <c r="G11" s="67">
        <v>1</v>
      </c>
      <c r="H11" s="3">
        <f t="shared" si="1"/>
        <v>0</v>
      </c>
      <c r="I11" s="69"/>
      <c r="K11" s="20" t="s">
        <v>74</v>
      </c>
      <c r="L11" s="20">
        <v>6.0999999999999999E-2</v>
      </c>
      <c r="M11" s="20">
        <v>6.0999999999999999E-2</v>
      </c>
      <c r="P11" s="109" t="s">
        <v>98</v>
      </c>
      <c r="Q11" s="163" t="str">
        <f>'Loop 2'!C85</f>
        <v>Loop ok</v>
      </c>
      <c r="R11" s="165">
        <f>'Loop 2'!A85</f>
        <v>1.25</v>
      </c>
      <c r="S11" s="166">
        <f>'Loop 2'!A87</f>
        <v>2000</v>
      </c>
      <c r="T11" s="161" t="str">
        <f>'Loop 2'!A81</f>
        <v>Fire Tuff (2 Core ) 1.5mm</v>
      </c>
      <c r="U11" s="112"/>
      <c r="V11" s="162">
        <f>'Loop 2'!B77</f>
        <v>0</v>
      </c>
    </row>
    <row r="12" spans="1:22" ht="15" thickBot="1" x14ac:dyDescent="0.35">
      <c r="A12" s="59"/>
      <c r="B12" s="6" t="s">
        <v>52</v>
      </c>
      <c r="C12" s="4">
        <f>IF(B6=5400,'Loop 3'!D77,0)</f>
        <v>0</v>
      </c>
      <c r="D12" s="9">
        <v>1.25</v>
      </c>
      <c r="E12" s="3">
        <f t="shared" si="0"/>
        <v>0</v>
      </c>
      <c r="F12" s="4">
        <f>IF(B6=5400,'Loop 3'!F77,0)</f>
        <v>0</v>
      </c>
      <c r="G12" s="9">
        <v>1.25</v>
      </c>
      <c r="H12" s="3">
        <f t="shared" si="1"/>
        <v>0</v>
      </c>
      <c r="I12" s="69"/>
      <c r="K12" s="20" t="s">
        <v>75</v>
      </c>
      <c r="L12" s="20">
        <v>0</v>
      </c>
      <c r="M12" s="20">
        <v>0</v>
      </c>
      <c r="O12" s="20">
        <v>5100</v>
      </c>
      <c r="P12" s="109"/>
      <c r="Q12" s="110"/>
      <c r="R12" s="110"/>
      <c r="S12" s="110"/>
      <c r="T12" s="110"/>
      <c r="U12" s="110"/>
      <c r="V12" s="111"/>
    </row>
    <row r="13" spans="1:22" ht="15" thickBot="1" x14ac:dyDescent="0.35">
      <c r="A13" s="59"/>
      <c r="B13" s="6" t="s">
        <v>76</v>
      </c>
      <c r="C13" s="3">
        <f>IF(B6=5400,0.042,0)</f>
        <v>0</v>
      </c>
      <c r="D13" s="67">
        <v>1</v>
      </c>
      <c r="E13" s="3">
        <f t="shared" si="0"/>
        <v>0</v>
      </c>
      <c r="F13" s="3">
        <f>IF(B6=5400,0.042,0)</f>
        <v>0</v>
      </c>
      <c r="G13" s="67">
        <v>1</v>
      </c>
      <c r="H13" s="3">
        <f t="shared" si="1"/>
        <v>0</v>
      </c>
      <c r="I13" s="69"/>
      <c r="O13" s="20">
        <v>5200</v>
      </c>
      <c r="P13" s="109" t="s">
        <v>99</v>
      </c>
      <c r="Q13" s="163" t="str">
        <f>'Loop 3'!C85</f>
        <v>Loop ok</v>
      </c>
      <c r="R13" s="165">
        <f>'Loop 3'!A85</f>
        <v>1.25</v>
      </c>
      <c r="S13" s="166">
        <f>'Loop 3'!A87</f>
        <v>2000</v>
      </c>
      <c r="T13" s="161" t="str">
        <f>'Loop 3'!A81</f>
        <v>Fire Tuff (2 Core ) 1.5mm</v>
      </c>
      <c r="U13" s="112"/>
      <c r="V13" s="162">
        <f>'Loop 3'!B77</f>
        <v>0</v>
      </c>
    </row>
    <row r="14" spans="1:22" ht="15" thickBot="1" x14ac:dyDescent="0.35">
      <c r="A14" s="59"/>
      <c r="B14" s="6" t="s">
        <v>52</v>
      </c>
      <c r="C14" s="4">
        <f>IF(B6=5400,'Loop 4'!D77,0)</f>
        <v>0</v>
      </c>
      <c r="D14" s="9">
        <v>1.25</v>
      </c>
      <c r="E14" s="3">
        <f t="shared" si="0"/>
        <v>0</v>
      </c>
      <c r="F14" s="4">
        <f>IF(B6=5400,'Loop 4'!F77,0)</f>
        <v>0</v>
      </c>
      <c r="G14" s="9">
        <v>1.25</v>
      </c>
      <c r="H14" s="3">
        <f t="shared" si="1"/>
        <v>0</v>
      </c>
      <c r="I14" s="69"/>
      <c r="K14" s="20" t="s">
        <v>77</v>
      </c>
      <c r="L14" s="20">
        <v>0</v>
      </c>
      <c r="M14" s="20">
        <v>0.03</v>
      </c>
      <c r="O14" s="20">
        <v>5400</v>
      </c>
      <c r="P14" s="109"/>
      <c r="Q14" s="110"/>
      <c r="R14" s="110"/>
      <c r="S14" s="110"/>
      <c r="T14" s="110"/>
      <c r="U14" s="110"/>
      <c r="V14" s="111"/>
    </row>
    <row r="15" spans="1:22" ht="15" thickBot="1" x14ac:dyDescent="0.35">
      <c r="A15" s="59"/>
      <c r="B15" s="6" t="s">
        <v>78</v>
      </c>
      <c r="C15" s="3">
        <f>IF(B6=5400,0.042,0)</f>
        <v>0</v>
      </c>
      <c r="D15" s="67">
        <v>1</v>
      </c>
      <c r="E15" s="3">
        <f t="shared" si="0"/>
        <v>0</v>
      </c>
      <c r="F15" s="3">
        <f>IF(B6=5400,0.042,0)</f>
        <v>0</v>
      </c>
      <c r="G15" s="67">
        <v>1</v>
      </c>
      <c r="H15" s="3">
        <f t="shared" si="1"/>
        <v>0</v>
      </c>
      <c r="I15" s="69"/>
      <c r="K15" s="20" t="s">
        <v>79</v>
      </c>
      <c r="L15" s="20">
        <v>3.1E-2</v>
      </c>
      <c r="M15" s="20">
        <v>4.2999999999999997E-2</v>
      </c>
      <c r="O15" s="70"/>
      <c r="P15" s="109" t="s">
        <v>100</v>
      </c>
      <c r="Q15" s="164" t="str">
        <f>'Loop 4'!C85</f>
        <v>Loop ok</v>
      </c>
      <c r="R15" s="165">
        <f>'Loop 4'!A85</f>
        <v>1.25</v>
      </c>
      <c r="S15" s="166">
        <f>'Loop 4'!A87</f>
        <v>2000</v>
      </c>
      <c r="T15" s="161" t="str">
        <f>'Loop 4'!A81</f>
        <v>Fire Tuff (2 Core ) 1.5mm</v>
      </c>
      <c r="U15" s="112"/>
      <c r="V15" s="162">
        <f>'Loop 4'!B77</f>
        <v>0</v>
      </c>
    </row>
    <row r="16" spans="1:22" x14ac:dyDescent="0.3">
      <c r="A16" s="59"/>
      <c r="B16" s="6" t="str">
        <f>IF($C35="MXP-509","MXP-509 Fault-Tolerant Network",IF($C35="MXP-503","MXP-503 Standard Network","NO NETWORK Card"))</f>
        <v>NO NETWORK Card</v>
      </c>
      <c r="C16" s="71">
        <f>IF($C35="MXP-509",$L11,IF($C35="MXP-503",$L10,$L12))</f>
        <v>0</v>
      </c>
      <c r="D16" s="67">
        <v>1</v>
      </c>
      <c r="E16" s="65">
        <f t="shared" si="0"/>
        <v>0</v>
      </c>
      <c r="F16" s="65">
        <f>IF($C35="MXP-509",$M11,IF($C35="MXP-503",$M10,$M12))</f>
        <v>0</v>
      </c>
      <c r="G16" s="67">
        <f>D16</f>
        <v>1</v>
      </c>
      <c r="H16" s="65">
        <f t="shared" si="1"/>
        <v>0</v>
      </c>
      <c r="I16" s="69"/>
      <c r="K16" s="20" t="s">
        <v>75</v>
      </c>
      <c r="L16" s="20">
        <v>0</v>
      </c>
      <c r="M16" s="20">
        <v>0</v>
      </c>
    </row>
    <row r="17" spans="1:21" x14ac:dyDescent="0.3">
      <c r="A17" s="59"/>
      <c r="B17" s="6" t="str">
        <f>IF($C36="MXP-507","MXP-507 2-Way Relay Card",IF($C36="MXP-532","MXP-532 Routing / Protection I/F","NO PLUG-IN Card"))</f>
        <v>NO PLUG-IN Card</v>
      </c>
      <c r="C17" s="65">
        <f>IF($C36="MXP-507",$L14,IF($C36="MXP-532",$L15,$L16))</f>
        <v>0</v>
      </c>
      <c r="D17" s="67">
        <v>1</v>
      </c>
      <c r="E17" s="65">
        <f t="shared" si="0"/>
        <v>0</v>
      </c>
      <c r="F17" s="65">
        <f>IF($C36="MXP-507",$M14,IF($C36="MXP-532",$M15,$M16))</f>
        <v>0</v>
      </c>
      <c r="G17" s="67">
        <f>D17</f>
        <v>1</v>
      </c>
      <c r="H17" s="65">
        <f t="shared" si="1"/>
        <v>0</v>
      </c>
      <c r="I17" s="69"/>
      <c r="P17" s="123"/>
    </row>
    <row r="18" spans="1:21" x14ac:dyDescent="0.3">
      <c r="A18" s="59"/>
      <c r="B18" s="6" t="str">
        <f>IF($C37="NONE","NO LED INDICATOR Card","MXP-513-XXX LED INDICATOR Card")</f>
        <v>NO LED INDICATOR Card</v>
      </c>
      <c r="C18" s="65">
        <f>IF(C37="NONE",0,((C37/50)*L19))</f>
        <v>0</v>
      </c>
      <c r="D18" s="67">
        <f>IF($C37="NONE",0,($C37/50))</f>
        <v>0</v>
      </c>
      <c r="E18" s="65">
        <f t="shared" si="0"/>
        <v>0</v>
      </c>
      <c r="F18" s="65">
        <f>IF(C37="NONE",0,((C37/50)*M19))</f>
        <v>0</v>
      </c>
      <c r="G18" s="67">
        <f>D18</f>
        <v>0</v>
      </c>
      <c r="H18" s="65">
        <f t="shared" si="1"/>
        <v>0</v>
      </c>
      <c r="I18" s="69"/>
    </row>
    <row r="19" spans="1:21" x14ac:dyDescent="0.3">
      <c r="A19" s="59"/>
      <c r="B19" s="6" t="str">
        <f>IF(C38="MXP-512","MXP-512 INTERNAL PRINTER","NO PRINTER")</f>
        <v>NO PRINTER</v>
      </c>
      <c r="C19" s="65">
        <f>IF(C38="NONE",0,L26)</f>
        <v>0</v>
      </c>
      <c r="D19" s="67">
        <v>1</v>
      </c>
      <c r="E19" s="65">
        <f t="shared" si="0"/>
        <v>0</v>
      </c>
      <c r="F19" s="65">
        <f>IF(C38="NONE",0,M26)</f>
        <v>0</v>
      </c>
      <c r="G19" s="67">
        <f>D19</f>
        <v>1</v>
      </c>
      <c r="H19" s="65">
        <f t="shared" si="1"/>
        <v>0</v>
      </c>
      <c r="I19" s="69"/>
      <c r="J19" s="20" t="s">
        <v>130</v>
      </c>
      <c r="K19" s="20">
        <v>50</v>
      </c>
      <c r="L19" s="20">
        <v>8.0000000000000002E-3</v>
      </c>
      <c r="M19" s="20">
        <v>0.03</v>
      </c>
    </row>
    <row r="20" spans="1:21" x14ac:dyDescent="0.3">
      <c r="A20" s="59"/>
      <c r="B20" s="6" t="str">
        <f>IF(C39="MXP-504","MXP-504 FAT I/F",IF(C39="MXP-504/508","MXP-504 FAT I/F + MXP-508 RELAY","NO FAT INTERFACE"))</f>
        <v>NO FAT INTERFACE</v>
      </c>
      <c r="C20" s="65">
        <f>IF(C39="MXP-504",L29,IF(C39="MXP-504/508",L30,L31))</f>
        <v>0</v>
      </c>
      <c r="D20" s="67">
        <v>1</v>
      </c>
      <c r="E20" s="65">
        <f t="shared" si="0"/>
        <v>0</v>
      </c>
      <c r="F20" s="65">
        <f>IF(C39="MXP-504",M29,IF(C39="MXP-504/508",M30,M31))</f>
        <v>0</v>
      </c>
      <c r="G20" s="67">
        <f>D20</f>
        <v>1</v>
      </c>
      <c r="H20" s="65">
        <f t="shared" si="1"/>
        <v>0</v>
      </c>
      <c r="I20" s="69"/>
      <c r="K20" s="20">
        <v>100</v>
      </c>
      <c r="L20" s="20">
        <f>L19*2</f>
        <v>1.6E-2</v>
      </c>
      <c r="M20" s="20">
        <f>M19*2</f>
        <v>0.06</v>
      </c>
    </row>
    <row r="21" spans="1:21" x14ac:dyDescent="0.3">
      <c r="A21" s="59"/>
      <c r="B21" s="6" t="str">
        <f>IF(C39="NONE","","MXP-504 SUPPLY OUTPUT LOADS")</f>
        <v/>
      </c>
      <c r="C21" s="5">
        <v>0</v>
      </c>
      <c r="D21" s="61">
        <v>1</v>
      </c>
      <c r="E21" s="65">
        <f>IF(C39="none",0,C21*D21)</f>
        <v>0</v>
      </c>
      <c r="F21" s="5">
        <v>0</v>
      </c>
      <c r="G21" s="61">
        <v>1</v>
      </c>
      <c r="H21" s="65">
        <f>IF(C39="none",0,F21*G21)</f>
        <v>0</v>
      </c>
      <c r="I21" s="69"/>
      <c r="K21" s="20">
        <v>150</v>
      </c>
      <c r="L21" s="20">
        <f>L19*3</f>
        <v>2.4E-2</v>
      </c>
      <c r="M21" s="20">
        <f>M19*3</f>
        <v>0.09</v>
      </c>
    </row>
    <row r="22" spans="1:21" x14ac:dyDescent="0.3">
      <c r="A22" s="59"/>
      <c r="B22" s="6" t="s">
        <v>53</v>
      </c>
      <c r="C22" s="5">
        <v>0</v>
      </c>
      <c r="D22" s="61">
        <v>1</v>
      </c>
      <c r="E22" s="65">
        <f t="shared" si="0"/>
        <v>0</v>
      </c>
      <c r="F22" s="5">
        <v>0</v>
      </c>
      <c r="G22" s="61">
        <v>1</v>
      </c>
      <c r="H22" s="65">
        <f t="shared" si="1"/>
        <v>0</v>
      </c>
      <c r="I22" s="69"/>
      <c r="K22" s="20">
        <v>200</v>
      </c>
      <c r="L22" s="20">
        <f>L19*4</f>
        <v>3.2000000000000001E-2</v>
      </c>
      <c r="M22" s="20">
        <f>M19*4</f>
        <v>0.12</v>
      </c>
    </row>
    <row r="23" spans="1:21" ht="18" x14ac:dyDescent="0.35">
      <c r="A23" s="59"/>
      <c r="B23" s="6"/>
      <c r="C23" s="72"/>
      <c r="D23" s="61"/>
      <c r="E23" s="72"/>
      <c r="F23" s="73"/>
      <c r="G23" s="74"/>
      <c r="H23" s="72"/>
      <c r="I23" s="69"/>
      <c r="K23" s="20">
        <v>250</v>
      </c>
      <c r="L23" s="20">
        <f>L19*5</f>
        <v>0.04</v>
      </c>
      <c r="M23" s="20">
        <f>M19*5</f>
        <v>0.15</v>
      </c>
      <c r="P23" s="124" t="s">
        <v>196</v>
      </c>
      <c r="Q23" s="124"/>
      <c r="R23" s="124"/>
      <c r="S23" s="124"/>
      <c r="T23" s="124"/>
      <c r="U23" s="124"/>
    </row>
    <row r="24" spans="1:21" x14ac:dyDescent="0.3">
      <c r="A24" s="59"/>
      <c r="B24" s="6" t="s">
        <v>54</v>
      </c>
      <c r="C24" s="75"/>
      <c r="D24" s="76"/>
      <c r="E24" s="77"/>
      <c r="F24" s="7">
        <v>0</v>
      </c>
      <c r="G24" s="61">
        <v>1</v>
      </c>
      <c r="H24" s="65">
        <f t="shared" si="1"/>
        <v>0</v>
      </c>
      <c r="I24" s="69"/>
      <c r="K24" s="20" t="s">
        <v>75</v>
      </c>
      <c r="L24" s="20">
        <v>0</v>
      </c>
      <c r="M24" s="20">
        <v>0</v>
      </c>
    </row>
    <row r="25" spans="1:21" ht="18" x14ac:dyDescent="0.35">
      <c r="A25" s="59"/>
      <c r="B25" s="6" t="s">
        <v>55</v>
      </c>
      <c r="C25" s="75"/>
      <c r="D25" s="76"/>
      <c r="E25" s="77"/>
      <c r="F25" s="7">
        <v>0</v>
      </c>
      <c r="G25" s="61">
        <v>1</v>
      </c>
      <c r="H25" s="65">
        <f t="shared" si="1"/>
        <v>0</v>
      </c>
      <c r="I25" s="69"/>
      <c r="P25" s="124" t="s">
        <v>127</v>
      </c>
    </row>
    <row r="26" spans="1:21" x14ac:dyDescent="0.3">
      <c r="A26" s="59"/>
      <c r="B26" s="6" t="str">
        <f>IF(B6=5400,"Sounder Output C","")</f>
        <v/>
      </c>
      <c r="C26" s="75"/>
      <c r="D26" s="76"/>
      <c r="E26" s="77"/>
      <c r="F26" s="7">
        <v>0</v>
      </c>
      <c r="G26" s="61">
        <v>1</v>
      </c>
      <c r="H26" s="65">
        <f>IF(B6&lt;&gt;5400,0,F26*G26)</f>
        <v>0</v>
      </c>
      <c r="I26" s="69"/>
      <c r="K26" s="20" t="s">
        <v>80</v>
      </c>
      <c r="L26" s="20">
        <v>1.2E-2</v>
      </c>
      <c r="M26" s="20">
        <v>0.27</v>
      </c>
    </row>
    <row r="27" spans="1:21" x14ac:dyDescent="0.3">
      <c r="A27" s="59"/>
      <c r="B27" s="6" t="str">
        <f>IF(B6=5400,"Sounder Output D","")</f>
        <v/>
      </c>
      <c r="C27" s="75"/>
      <c r="D27" s="76"/>
      <c r="E27" s="78"/>
      <c r="F27" s="7">
        <v>0</v>
      </c>
      <c r="G27" s="61">
        <v>1</v>
      </c>
      <c r="H27" s="65">
        <f>IF(B6&lt;&gt;5400,0,F27*G27)</f>
        <v>0</v>
      </c>
      <c r="I27" s="69"/>
      <c r="K27" s="20" t="s">
        <v>75</v>
      </c>
      <c r="L27" s="20">
        <v>0</v>
      </c>
      <c r="M27" s="20">
        <v>0</v>
      </c>
      <c r="P27" s="20" t="s">
        <v>128</v>
      </c>
    </row>
    <row r="28" spans="1:21" x14ac:dyDescent="0.3">
      <c r="A28" s="59"/>
      <c r="B28" s="138" t="s">
        <v>50</v>
      </c>
      <c r="C28" s="80" t="s">
        <v>56</v>
      </c>
      <c r="D28" s="81"/>
      <c r="E28" s="82">
        <f>SUM(E7:E22)</f>
        <v>0.11399999999999999</v>
      </c>
      <c r="F28" s="80" t="s">
        <v>57</v>
      </c>
      <c r="G28" s="81"/>
      <c r="H28" s="83">
        <f>SUM(H7:H27)</f>
        <v>0.19825000000000001</v>
      </c>
      <c r="I28" s="69"/>
    </row>
    <row r="29" spans="1:21" x14ac:dyDescent="0.3">
      <c r="A29" s="59"/>
      <c r="B29" s="6" t="s">
        <v>58</v>
      </c>
      <c r="C29" s="8">
        <v>24</v>
      </c>
      <c r="D29" s="113" t="s">
        <v>59</v>
      </c>
      <c r="E29" s="114">
        <f>E28*C29</f>
        <v>2.7359999999999998</v>
      </c>
      <c r="F29" s="115"/>
      <c r="G29" s="113" t="s">
        <v>60</v>
      </c>
      <c r="H29" s="116">
        <f>H28*2*0.5</f>
        <v>0.19825000000000001</v>
      </c>
      <c r="I29" s="69"/>
      <c r="K29" s="20" t="s">
        <v>81</v>
      </c>
      <c r="L29" s="20">
        <v>2.5000000000000001E-2</v>
      </c>
      <c r="M29" s="20">
        <v>3.4000000000000002E-2</v>
      </c>
      <c r="P29" s="20" t="s">
        <v>110</v>
      </c>
    </row>
    <row r="30" spans="1:21" x14ac:dyDescent="0.3">
      <c r="A30" s="59"/>
      <c r="B30" s="62"/>
      <c r="C30" s="88"/>
      <c r="D30" s="117"/>
      <c r="E30" s="118"/>
      <c r="F30" s="119" t="s">
        <v>61</v>
      </c>
      <c r="G30" s="117"/>
      <c r="H30" s="120">
        <f>E29</f>
        <v>2.7359999999999998</v>
      </c>
      <c r="I30" s="69"/>
      <c r="K30" s="20" t="s">
        <v>82</v>
      </c>
      <c r="L30" s="20">
        <v>2.5000000000000001E-2</v>
      </c>
      <c r="M30" s="20">
        <v>9.9000000000000005E-2</v>
      </c>
      <c r="P30" s="20" t="s">
        <v>129</v>
      </c>
    </row>
    <row r="31" spans="1:21" x14ac:dyDescent="0.3">
      <c r="A31" s="59"/>
      <c r="B31" s="62"/>
      <c r="C31" s="88"/>
      <c r="D31" s="118"/>
      <c r="E31" s="118"/>
      <c r="F31" s="118"/>
      <c r="G31" s="121" t="s">
        <v>62</v>
      </c>
      <c r="H31" s="120">
        <f>SUM(H29:H30)</f>
        <v>2.9342499999999996</v>
      </c>
      <c r="I31" s="1"/>
      <c r="K31" s="20" t="s">
        <v>75</v>
      </c>
      <c r="L31" s="20">
        <v>0</v>
      </c>
      <c r="M31" s="20">
        <v>0</v>
      </c>
      <c r="P31" s="20" t="s">
        <v>111</v>
      </c>
    </row>
    <row r="32" spans="1:21" x14ac:dyDescent="0.3">
      <c r="A32" s="59"/>
      <c r="B32" s="62"/>
      <c r="C32" s="94"/>
      <c r="D32" s="115"/>
      <c r="E32" s="115"/>
      <c r="F32" s="115"/>
      <c r="G32" s="113" t="s">
        <v>63</v>
      </c>
      <c r="H32" s="122">
        <f>H31*1.25</f>
        <v>3.6678124999999993</v>
      </c>
      <c r="I32" s="96"/>
    </row>
    <row r="33" spans="1:16" x14ac:dyDescent="0.3">
      <c r="A33" s="59"/>
      <c r="B33" s="62" t="s">
        <v>83</v>
      </c>
      <c r="C33" s="62"/>
      <c r="D33" s="62"/>
      <c r="E33" s="62"/>
      <c r="F33" s="62"/>
      <c r="G33" s="62"/>
      <c r="H33" s="62"/>
      <c r="I33" s="96"/>
      <c r="K33" s="20" t="s">
        <v>84</v>
      </c>
      <c r="L33" s="20">
        <v>2.9999999999999997E-4</v>
      </c>
      <c r="M33" s="20">
        <v>3.5000000000000001E-3</v>
      </c>
      <c r="P33" s="20" t="s">
        <v>112</v>
      </c>
    </row>
    <row r="34" spans="1:16" x14ac:dyDescent="0.3">
      <c r="A34" s="59"/>
      <c r="B34" s="2" t="s">
        <v>85</v>
      </c>
      <c r="C34" s="176" t="s">
        <v>67</v>
      </c>
      <c r="D34" s="177"/>
      <c r="E34" s="62"/>
      <c r="F34" s="62"/>
      <c r="G34" s="62"/>
      <c r="H34" s="62"/>
      <c r="I34" s="96"/>
      <c r="K34" s="20" t="s">
        <v>86</v>
      </c>
      <c r="L34" s="20">
        <v>2.9999999999999997E-4</v>
      </c>
      <c r="M34" s="20">
        <v>8.2500000000000004E-3</v>
      </c>
      <c r="P34" s="20" t="s">
        <v>113</v>
      </c>
    </row>
    <row r="35" spans="1:16" x14ac:dyDescent="0.3">
      <c r="A35" s="59"/>
      <c r="B35" s="2" t="s">
        <v>87</v>
      </c>
      <c r="C35" s="176" t="s">
        <v>75</v>
      </c>
      <c r="D35" s="177"/>
      <c r="E35" s="62"/>
      <c r="F35" s="62"/>
      <c r="G35" s="62"/>
      <c r="H35" s="62"/>
      <c r="I35" s="97"/>
      <c r="P35" s="20" t="s">
        <v>114</v>
      </c>
    </row>
    <row r="36" spans="1:16" x14ac:dyDescent="0.3">
      <c r="A36" s="59"/>
      <c r="B36" s="2" t="s">
        <v>88</v>
      </c>
      <c r="C36" s="176" t="s">
        <v>75</v>
      </c>
      <c r="D36" s="177"/>
      <c r="E36" s="62" t="str">
        <f>IF(C36="NONE","","Alarm load figure is all O/P ON")</f>
        <v/>
      </c>
      <c r="F36" s="62"/>
      <c r="G36" s="62"/>
      <c r="H36" s="62"/>
      <c r="I36" s="1"/>
      <c r="P36" s="20" t="s">
        <v>115</v>
      </c>
    </row>
    <row r="37" spans="1:16" x14ac:dyDescent="0.3">
      <c r="A37" s="59"/>
      <c r="B37" s="2" t="s">
        <v>89</v>
      </c>
      <c r="C37" s="176" t="s">
        <v>75</v>
      </c>
      <c r="D37" s="177"/>
      <c r="E37" s="62" t="str">
        <f>IF(C37="NONE","","Alarm load figure is all LED ON")</f>
        <v/>
      </c>
      <c r="F37" s="62"/>
      <c r="G37" s="62"/>
      <c r="H37" s="62"/>
      <c r="I37" s="1"/>
    </row>
    <row r="38" spans="1:16" x14ac:dyDescent="0.3">
      <c r="A38" s="59"/>
      <c r="B38" s="2" t="s">
        <v>90</v>
      </c>
      <c r="C38" s="176" t="s">
        <v>75</v>
      </c>
      <c r="D38" s="177"/>
      <c r="E38" s="62" t="str">
        <f>IF(C38="NONE","","Alarm load figure is PRINTING")</f>
        <v/>
      </c>
      <c r="F38" s="62"/>
      <c r="G38" s="62"/>
      <c r="H38" s="62"/>
      <c r="I38" s="1"/>
      <c r="P38" s="20" t="s">
        <v>116</v>
      </c>
    </row>
    <row r="39" spans="1:16" x14ac:dyDescent="0.3">
      <c r="A39" s="59"/>
      <c r="B39" s="2" t="s">
        <v>91</v>
      </c>
      <c r="C39" s="176" t="s">
        <v>75</v>
      </c>
      <c r="D39" s="177"/>
      <c r="E39" s="62" t="str">
        <f>IF(C39="NONE","","Alarm load figure is all O/P ON")</f>
        <v/>
      </c>
      <c r="F39" s="62"/>
      <c r="G39" s="62"/>
      <c r="H39" s="62"/>
      <c r="I39" s="1"/>
      <c r="P39" s="20" t="s">
        <v>117</v>
      </c>
    </row>
    <row r="40" spans="1:16" x14ac:dyDescent="0.3">
      <c r="A40" s="59"/>
      <c r="B40" s="137"/>
      <c r="C40" s="62"/>
      <c r="D40" s="62"/>
      <c r="E40" s="62" t="str">
        <f>IF(C39="NONE","","Add required FAT,FBF,Router AUX loads above")</f>
        <v/>
      </c>
      <c r="F40" s="62"/>
      <c r="G40" s="62"/>
      <c r="H40" s="62"/>
      <c r="I40" s="1"/>
    </row>
    <row r="41" spans="1:16" x14ac:dyDescent="0.3">
      <c r="A41" s="59"/>
      <c r="B41" s="2" t="s">
        <v>92</v>
      </c>
      <c r="C41" s="178" t="str">
        <f>IF(H32&gt;45.01,"NONE",IF(H32&gt;17.01,"DEEP",IF(H32&gt;12,"LARGE",IF(B6=5400,"LARGE",IF(H32&gt;7,"MEDIUM",IF(B6=5200,"MEDIUM",IF(C39&lt;&gt;"NONE","MEDIUM",IF(C38&lt;&gt;"NONE","MEDIUM","SMALL"))))))))</f>
        <v>SMALL</v>
      </c>
      <c r="D41" s="178"/>
      <c r="E41" s="174" t="str">
        <f>IF(C41="NONE","MAX BATTERY SIZE IS 45AH",IF(B6&lt;&gt;5100,"",IF(H32&gt;25,"MAX BATTERY SIZE IS 25AH","")))</f>
        <v/>
      </c>
      <c r="F41" s="175"/>
      <c r="G41" s="175"/>
      <c r="H41" s="62"/>
      <c r="I41" s="1"/>
      <c r="P41" s="20" t="s">
        <v>118</v>
      </c>
    </row>
    <row r="42" spans="1:16" ht="15" thickBot="1" x14ac:dyDescent="0.35">
      <c r="A42" s="98"/>
      <c r="B42" s="99"/>
      <c r="C42" s="99"/>
      <c r="D42" s="99"/>
      <c r="E42" s="99"/>
      <c r="F42" s="99"/>
      <c r="G42" s="99"/>
      <c r="H42" s="99"/>
      <c r="I42" s="100"/>
    </row>
    <row r="43" spans="1:16" x14ac:dyDescent="0.3">
      <c r="A43" s="59"/>
      <c r="B43" s="62"/>
      <c r="C43" s="62"/>
      <c r="D43" s="62"/>
      <c r="E43" s="62"/>
      <c r="F43" s="62"/>
      <c r="G43" s="62"/>
      <c r="H43" s="62"/>
      <c r="I43" s="1"/>
      <c r="P43" s="20" t="s">
        <v>121</v>
      </c>
    </row>
    <row r="44" spans="1:16" x14ac:dyDescent="0.3">
      <c r="A44" s="59"/>
      <c r="B44" s="60" t="s">
        <v>44</v>
      </c>
      <c r="C44" s="61"/>
      <c r="D44" s="63" t="s">
        <v>45</v>
      </c>
      <c r="E44" s="60"/>
      <c r="F44" s="61"/>
      <c r="G44" s="63" t="s">
        <v>46</v>
      </c>
      <c r="H44" s="60"/>
      <c r="I44" s="1"/>
      <c r="P44" s="20" t="s">
        <v>122</v>
      </c>
    </row>
    <row r="45" spans="1:16" x14ac:dyDescent="0.3">
      <c r="A45" s="59"/>
      <c r="B45" s="60" t="s">
        <v>47</v>
      </c>
      <c r="C45" s="63" t="s">
        <v>48</v>
      </c>
      <c r="D45" s="63" t="s">
        <v>49</v>
      </c>
      <c r="E45" s="63" t="s">
        <v>50</v>
      </c>
      <c r="F45" s="63" t="s">
        <v>48</v>
      </c>
      <c r="G45" s="63" t="s">
        <v>49</v>
      </c>
      <c r="H45" s="63" t="s">
        <v>50</v>
      </c>
      <c r="I45" s="1"/>
    </row>
    <row r="46" spans="1:16" x14ac:dyDescent="0.3">
      <c r="A46" s="59"/>
      <c r="B46" s="6" t="s">
        <v>51</v>
      </c>
      <c r="C46" s="3">
        <v>0.13800000000000001</v>
      </c>
      <c r="D46" s="2">
        <v>1</v>
      </c>
      <c r="E46" s="3">
        <f>C46*D46</f>
        <v>0.13800000000000001</v>
      </c>
      <c r="F46" s="3">
        <v>0.155</v>
      </c>
      <c r="G46" s="2">
        <v>1</v>
      </c>
      <c r="H46" s="3">
        <f>F46*G46</f>
        <v>0.155</v>
      </c>
      <c r="I46" s="1"/>
      <c r="P46" s="20" t="s">
        <v>123</v>
      </c>
    </row>
    <row r="47" spans="1:16" x14ac:dyDescent="0.3">
      <c r="A47" s="59"/>
      <c r="B47" s="6" t="s">
        <v>52</v>
      </c>
      <c r="C47" s="4">
        <f>'Loop 1'!$D$77</f>
        <v>0</v>
      </c>
      <c r="D47" s="2">
        <v>1.5</v>
      </c>
      <c r="E47" s="3">
        <f>C47*D47</f>
        <v>0</v>
      </c>
      <c r="F47" s="4">
        <f>'Loop 1'!$F$77</f>
        <v>2.5000000000000001E-2</v>
      </c>
      <c r="G47" s="2">
        <v>1.5</v>
      </c>
      <c r="H47" s="3">
        <f t="shared" ref="H47:H52" si="2">F47*G47</f>
        <v>3.7500000000000006E-2</v>
      </c>
      <c r="I47" s="66"/>
      <c r="P47" s="20" t="s">
        <v>124</v>
      </c>
    </row>
    <row r="48" spans="1:16" x14ac:dyDescent="0.3">
      <c r="A48" s="59"/>
      <c r="B48" s="64"/>
      <c r="C48" s="5"/>
      <c r="D48" s="61"/>
      <c r="E48" s="65"/>
      <c r="F48" s="5"/>
      <c r="G48" s="61"/>
      <c r="H48" s="65"/>
      <c r="I48" s="69"/>
      <c r="P48" s="20" t="s">
        <v>125</v>
      </c>
    </row>
    <row r="49" spans="1:16" x14ac:dyDescent="0.3">
      <c r="A49" s="59"/>
      <c r="B49" s="64" t="s">
        <v>53</v>
      </c>
      <c r="C49" s="5">
        <v>0</v>
      </c>
      <c r="D49" s="61">
        <v>1</v>
      </c>
      <c r="E49" s="65">
        <f>C49*D49</f>
        <v>0</v>
      </c>
      <c r="F49" s="5">
        <v>0</v>
      </c>
      <c r="G49" s="61">
        <v>1</v>
      </c>
      <c r="H49" s="65">
        <f t="shared" si="2"/>
        <v>0</v>
      </c>
      <c r="I49" s="69"/>
      <c r="P49" s="20" t="s">
        <v>126</v>
      </c>
    </row>
    <row r="50" spans="1:16" x14ac:dyDescent="0.3">
      <c r="A50" s="59"/>
      <c r="B50" s="64"/>
      <c r="C50" s="72"/>
      <c r="D50" s="61"/>
      <c r="E50" s="72"/>
      <c r="F50" s="73"/>
      <c r="G50" s="74"/>
      <c r="H50" s="72"/>
      <c r="I50" s="69"/>
    </row>
    <row r="51" spans="1:16" x14ac:dyDescent="0.3">
      <c r="A51" s="59"/>
      <c r="B51" s="64" t="s">
        <v>54</v>
      </c>
      <c r="C51" s="75"/>
      <c r="D51" s="76"/>
      <c r="E51" s="77"/>
      <c r="F51" s="7">
        <v>0</v>
      </c>
      <c r="G51" s="61">
        <v>1</v>
      </c>
      <c r="H51" s="65">
        <f t="shared" si="2"/>
        <v>0</v>
      </c>
      <c r="I51" s="69"/>
    </row>
    <row r="52" spans="1:16" x14ac:dyDescent="0.3">
      <c r="A52" s="59"/>
      <c r="B52" s="64" t="s">
        <v>55</v>
      </c>
      <c r="C52" s="75"/>
      <c r="D52" s="76"/>
      <c r="E52" s="77"/>
      <c r="F52" s="7">
        <v>0</v>
      </c>
      <c r="G52" s="61">
        <v>1</v>
      </c>
      <c r="H52" s="65">
        <f t="shared" si="2"/>
        <v>0</v>
      </c>
      <c r="I52" s="69"/>
    </row>
    <row r="53" spans="1:16" x14ac:dyDescent="0.3">
      <c r="A53" s="59"/>
      <c r="B53" s="64" t="str">
        <f>IF(B45=5400,"Sounder Output C","")</f>
        <v/>
      </c>
      <c r="C53" s="75"/>
      <c r="D53" s="76"/>
      <c r="E53" s="77"/>
      <c r="F53" s="7">
        <v>0</v>
      </c>
      <c r="G53" s="61">
        <v>1</v>
      </c>
      <c r="H53" s="65"/>
      <c r="I53" s="69"/>
    </row>
    <row r="54" spans="1:16" x14ac:dyDescent="0.3">
      <c r="A54" s="59"/>
      <c r="B54" s="64" t="str">
        <f>IF(B45=5400,"Sounder Output D","")</f>
        <v/>
      </c>
      <c r="C54" s="75"/>
      <c r="D54" s="76"/>
      <c r="E54" s="78"/>
      <c r="F54" s="7">
        <v>0</v>
      </c>
      <c r="G54" s="61">
        <v>1</v>
      </c>
      <c r="H54" s="65"/>
      <c r="I54" s="69"/>
    </row>
    <row r="55" spans="1:16" x14ac:dyDescent="0.3">
      <c r="A55" s="59"/>
      <c r="B55" s="79" t="s">
        <v>50</v>
      </c>
      <c r="C55" s="80" t="s">
        <v>56</v>
      </c>
      <c r="D55" s="81"/>
      <c r="E55" s="82">
        <f>SUM(E46:E49)</f>
        <v>0.13800000000000001</v>
      </c>
      <c r="F55" s="80" t="s">
        <v>57</v>
      </c>
      <c r="G55" s="81"/>
      <c r="H55" s="83">
        <f>SUM(H46:H54)</f>
        <v>0.1925</v>
      </c>
      <c r="I55" s="69"/>
    </row>
    <row r="56" spans="1:16" x14ac:dyDescent="0.3">
      <c r="A56" s="59"/>
      <c r="B56" s="64" t="s">
        <v>58</v>
      </c>
      <c r="C56" s="8">
        <v>24</v>
      </c>
      <c r="D56" s="84" t="s">
        <v>59</v>
      </c>
      <c r="E56" s="85">
        <f>E55*C56</f>
        <v>3.3120000000000003</v>
      </c>
      <c r="F56" s="86"/>
      <c r="G56" s="84" t="s">
        <v>60</v>
      </c>
      <c r="H56" s="87">
        <f>H55*2*0.5</f>
        <v>0.1925</v>
      </c>
      <c r="I56" s="69"/>
    </row>
    <row r="57" spans="1:16" x14ac:dyDescent="0.3">
      <c r="A57" s="59"/>
      <c r="B57" s="62"/>
      <c r="C57" s="88"/>
      <c r="D57" s="89"/>
      <c r="E57" s="90"/>
      <c r="F57" s="91" t="s">
        <v>61</v>
      </c>
      <c r="G57" s="89"/>
      <c r="H57" s="92">
        <f>E56</f>
        <v>3.3120000000000003</v>
      </c>
      <c r="I57" s="69"/>
    </row>
    <row r="58" spans="1:16" x14ac:dyDescent="0.3">
      <c r="A58" s="59"/>
      <c r="B58" s="62"/>
      <c r="C58" s="88"/>
      <c r="D58" s="90"/>
      <c r="E58" s="90"/>
      <c r="F58" s="90"/>
      <c r="G58" s="93" t="s">
        <v>62</v>
      </c>
      <c r="H58" s="92">
        <f>SUM(H56:H57)</f>
        <v>3.5045000000000002</v>
      </c>
      <c r="I58" s="1"/>
    </row>
    <row r="59" spans="1:16" x14ac:dyDescent="0.3">
      <c r="A59" s="59"/>
      <c r="B59" s="62"/>
      <c r="C59" s="94"/>
      <c r="D59" s="86"/>
      <c r="E59" s="86"/>
      <c r="F59" s="86"/>
      <c r="G59" s="84" t="s">
        <v>63</v>
      </c>
      <c r="H59" s="95">
        <f>H58*1.25</f>
        <v>4.3806250000000002</v>
      </c>
      <c r="I59" s="96"/>
    </row>
    <row r="60" spans="1:16" ht="15" thickBot="1" x14ac:dyDescent="0.35">
      <c r="A60" s="98"/>
      <c r="B60" s="99"/>
      <c r="C60" s="99"/>
      <c r="D60" s="99"/>
      <c r="E60" s="99"/>
      <c r="F60" s="99"/>
      <c r="G60" s="99"/>
      <c r="H60" s="99"/>
      <c r="I60" s="100"/>
    </row>
  </sheetData>
  <sheetProtection algorithmName="SHA-512" hashValue="4Om3ebQbZaPy4ALLnKKeT21Kxzyf7IXFegCkFzf2IzPhZiCFgLnxVQMj7gXj/Vc+6yxRuxxxblyssTdQcYLpjw==" saltValue="7OtUS6YSJEV9+Z29hk13WA==" spinCount="100000" sheet="1" selectLockedCells="1"/>
  <mergeCells count="11">
    <mergeCell ref="C2:H2"/>
    <mergeCell ref="C3:E3"/>
    <mergeCell ref="G3:H3"/>
    <mergeCell ref="E41:G41"/>
    <mergeCell ref="C34:D34"/>
    <mergeCell ref="C35:D35"/>
    <mergeCell ref="C36:D36"/>
    <mergeCell ref="C37:D37"/>
    <mergeCell ref="C38:D38"/>
    <mergeCell ref="C39:D39"/>
    <mergeCell ref="C41:D41"/>
  </mergeCells>
  <conditionalFormatting sqref="C41:D41">
    <cfRule type="cellIs" dxfId="61" priority="27" stopIfTrue="1" operator="equal">
      <formula>"NONE"</formula>
    </cfRule>
  </conditionalFormatting>
  <conditionalFormatting sqref="C10:G15">
    <cfRule type="expression" dxfId="60" priority="1" stopIfTrue="1">
      <formula>$B$6=5100</formula>
    </cfRule>
  </conditionalFormatting>
  <conditionalFormatting sqref="C12:G15">
    <cfRule type="expression" dxfId="59" priority="33" stopIfTrue="1">
      <formula>$B$6=5200</formula>
    </cfRule>
  </conditionalFormatting>
  <conditionalFormatting sqref="C21:G21">
    <cfRule type="expression" dxfId="58" priority="25" stopIfTrue="1">
      <formula>$B$21=""</formula>
    </cfRule>
  </conditionalFormatting>
  <conditionalFormatting sqref="C48:G48">
    <cfRule type="expression" dxfId="57" priority="14" stopIfTrue="1">
      <formula>$B$9=""</formula>
    </cfRule>
  </conditionalFormatting>
  <conditionalFormatting sqref="E28">
    <cfRule type="expression" dxfId="56" priority="39" stopIfTrue="1">
      <formula>$B$6=5100</formula>
    </cfRule>
    <cfRule type="cellIs" dxfId="55" priority="40" stopIfTrue="1" operator="greaterThan">
      <formula>2.601</formula>
    </cfRule>
    <cfRule type="cellIs" dxfId="54" priority="38" stopIfTrue="1" operator="lessThanOrEqual">
      <formula>1.6</formula>
    </cfRule>
  </conditionalFormatting>
  <conditionalFormatting sqref="E55">
    <cfRule type="cellIs" dxfId="53" priority="24" stopIfTrue="1" operator="greaterThan">
      <formula>2.601</formula>
    </cfRule>
    <cfRule type="cellIs" dxfId="52" priority="22" stopIfTrue="1" operator="lessThanOrEqual">
      <formula>1.6</formula>
    </cfRule>
    <cfRule type="expression" dxfId="51" priority="23" stopIfTrue="1">
      <formula>$B$6=5100</formula>
    </cfRule>
  </conditionalFormatting>
  <conditionalFormatting sqref="E41:G41">
    <cfRule type="cellIs" dxfId="50" priority="34" stopIfTrue="1" operator="notEqual">
      <formula>""</formula>
    </cfRule>
  </conditionalFormatting>
  <conditionalFormatting sqref="F26:G27">
    <cfRule type="expression" dxfId="49" priority="26" stopIfTrue="1">
      <formula>$B$26=""</formula>
    </cfRule>
  </conditionalFormatting>
  <conditionalFormatting sqref="F53:G54">
    <cfRule type="expression" dxfId="48" priority="15" stopIfTrue="1">
      <formula>$B$14=""</formula>
    </cfRule>
  </conditionalFormatting>
  <conditionalFormatting sqref="H28">
    <cfRule type="cellIs" priority="28" stopIfTrue="1" operator="lessThanOrEqual">
      <formula>3</formula>
    </cfRule>
    <cfRule type="expression" dxfId="47" priority="29" stopIfTrue="1">
      <formula>$B$6="5100"</formula>
    </cfRule>
    <cfRule type="cellIs" dxfId="46" priority="30" stopIfTrue="1" operator="greaterThan">
      <formula>5.001</formula>
    </cfRule>
  </conditionalFormatting>
  <conditionalFormatting sqref="H32">
    <cfRule type="cellIs" dxfId="45" priority="35" stopIfTrue="1" operator="lessThanOrEqual">
      <formula>25</formula>
    </cfRule>
    <cfRule type="expression" dxfId="44" priority="36" stopIfTrue="1">
      <formula>$B$6=5100</formula>
    </cfRule>
    <cfRule type="cellIs" dxfId="43" priority="37" stopIfTrue="1" operator="greaterThan">
      <formula>45.01</formula>
    </cfRule>
  </conditionalFormatting>
  <conditionalFormatting sqref="H55">
    <cfRule type="cellIs" priority="16" stopIfTrue="1" operator="lessThanOrEqual">
      <formula>3</formula>
    </cfRule>
    <cfRule type="expression" dxfId="42" priority="17" stopIfTrue="1">
      <formula>$B$6="5100"</formula>
    </cfRule>
    <cfRule type="cellIs" dxfId="41" priority="18" stopIfTrue="1" operator="greaterThan">
      <formula>5.001</formula>
    </cfRule>
  </conditionalFormatting>
  <conditionalFormatting sqref="H59">
    <cfRule type="expression" dxfId="40" priority="20" stopIfTrue="1">
      <formula>$B$6=5100</formula>
    </cfRule>
    <cfRule type="cellIs" dxfId="39" priority="19" stopIfTrue="1" operator="lessThanOrEqual">
      <formula>25</formula>
    </cfRule>
    <cfRule type="cellIs" dxfId="38" priority="21" stopIfTrue="1" operator="greaterThan">
      <formula>45.01</formula>
    </cfRule>
  </conditionalFormatting>
  <conditionalFormatting sqref="Q11">
    <cfRule type="cellIs" dxfId="37" priority="8" operator="equal">
      <formula>"Loop not ok"</formula>
    </cfRule>
    <cfRule type="cellIs" dxfId="36" priority="9" operator="equal">
      <formula>"Loop ok"</formula>
    </cfRule>
  </conditionalFormatting>
  <conditionalFormatting sqref="Q13">
    <cfRule type="cellIs" dxfId="35" priority="6" operator="equal">
      <formula>"Loop not ok"</formula>
    </cfRule>
    <cfRule type="cellIs" dxfId="34" priority="7" operator="equal">
      <formula>"Loop ok"</formula>
    </cfRule>
  </conditionalFormatting>
  <conditionalFormatting sqref="Q15">
    <cfRule type="cellIs" dxfId="33" priority="4" operator="equal">
      <formula>"Loop not ok"</formula>
    </cfRule>
    <cfRule type="cellIs" dxfId="32" priority="5" operator="equal">
      <formula>"Loop ok"</formula>
    </cfRule>
  </conditionalFormatting>
  <conditionalFormatting sqref="Q9:V9">
    <cfRule type="cellIs" dxfId="31" priority="10" operator="equal">
      <formula>"Loop not ok"</formula>
    </cfRule>
    <cfRule type="cellIs" dxfId="30" priority="11" operator="equal">
      <formula>"Loop OK"</formula>
    </cfRule>
  </conditionalFormatting>
  <conditionalFormatting sqref="R6">
    <cfRule type="cellIs" dxfId="29" priority="12" operator="lessThan">
      <formula>942</formula>
    </cfRule>
    <cfRule type="cellIs" dxfId="28" priority="13" operator="greaterThan">
      <formula>900</formula>
    </cfRule>
  </conditionalFormatting>
  <dataValidations count="19">
    <dataValidation operator="equal" allowBlank="1" showInputMessage="1" showErrorMessage="1" promptTitle="DATE" prompt="Enter date in dd/mm/yyyy format" sqref="G3:H3" xr:uid="{00000000-0002-0000-0000-000000000000}"/>
    <dataValidation allowBlank="1" showInputMessage="1" showErrorMessage="1" promptTitle="YOUR NAME" prompt="Enter your name" sqref="C3:E3" xr:uid="{00000000-0002-0000-0000-000001000000}"/>
    <dataValidation allowBlank="1" showInputMessage="1" showErrorMessage="1" promptTitle="PROJECT" prompt="Enter the name of the project / building to which this design applies" sqref="C2:H2" xr:uid="{00000000-0002-0000-0000-000002000000}"/>
    <dataValidation type="list" allowBlank="1" showInputMessage="1" showErrorMessage="1" promptTitle="PANEL TYPE" prompt="Select the required panel type" sqref="B6" xr:uid="{00000000-0002-0000-0000-000003000000}">
      <formula1>$O$12:$O$15</formula1>
    </dataValidation>
    <dataValidation type="decimal" allowBlank="1" showInputMessage="1" showErrorMessage="1" errorTitle="AUX LOAD MAXIMUM" error="Range is 0 to 0.5A" promptTitle="PANEL AUX LOAD" prompt="Enter quiescent load supplied from Panel AUX" sqref="C22" xr:uid="{00000000-0002-0000-0000-000004000000}">
      <formula1>0</formula1>
      <formula2>0.5</formula2>
    </dataValidation>
    <dataValidation type="decimal" allowBlank="1" showInputMessage="1" showErrorMessage="1" errorTitle="AUX LOAD" error="Range is 0 to 0.5A" promptTitle="AUX LOAD" prompt="Enter alarm load taken by FAT and Routers" sqref="F21 F48" xr:uid="{00000000-0002-0000-0000-000005000000}">
      <formula1>0</formula1>
      <formula2>0.5</formula2>
    </dataValidation>
    <dataValidation type="decimal" allowBlank="1" showInputMessage="1" showErrorMessage="1" errorTitle="AUX LOAD" error="Range is 0 to 0.5A" promptTitle="AUX LOAD" prompt="Enter quiescent load taken by FAT and Routers" sqref="C21 C48" xr:uid="{00000000-0002-0000-0000-000006000000}">
      <formula1>0</formula1>
      <formula2>0.5</formula2>
    </dataValidation>
    <dataValidation type="list" allowBlank="1" showInputMessage="1" showErrorMessage="1" sqref="C29 C56" xr:uid="{00000000-0002-0000-0000-000007000000}">
      <formula1>$O$6:$O$9</formula1>
    </dataValidation>
    <dataValidation type="decimal" allowBlank="1" showInputMessage="1" showErrorMessage="1" errorTitle="AUX LOAD" error="Range is 0 to 0.5A" promptTitle="PANEL AUX LOAD" prompt="Enter alarm load supplied from Panel AUX" sqref="F22" xr:uid="{00000000-0002-0000-0000-000008000000}">
      <formula1>0</formula1>
      <formula2>0.5</formula2>
    </dataValidation>
    <dataValidation type="decimal" allowBlank="1" showInputMessage="1" showErrorMessage="1" errorTitle="SOUNDER LOAD" error="Range is 0 to 1.0A" promptTitle="SOUNDER LOAD" prompt="Range: 0 to 1A" sqref="F24:F27 F53:F54" xr:uid="{00000000-0002-0000-0000-000009000000}">
      <formula1>0</formula1>
      <formula2>1</formula2>
    </dataValidation>
    <dataValidation type="list" allowBlank="1" showInputMessage="1" showErrorMessage="1" sqref="C39" xr:uid="{00000000-0002-0000-0000-00000A000000}">
      <formula1>$K$29:$K$31</formula1>
    </dataValidation>
    <dataValidation type="list" allowBlank="1" showInputMessage="1" showErrorMessage="1" sqref="C38" xr:uid="{00000000-0002-0000-0000-00000B000000}">
      <formula1>$K$26:$K$27</formula1>
    </dataValidation>
    <dataValidation type="list" allowBlank="1" showInputMessage="1" showErrorMessage="1" sqref="C37" xr:uid="{00000000-0002-0000-0000-00000C000000}">
      <formula1>$K$19:$K$24</formula1>
    </dataValidation>
    <dataValidation type="list" allowBlank="1" showInputMessage="1" showErrorMessage="1" sqref="C36" xr:uid="{00000000-0002-0000-0000-00000D000000}">
      <formula1>$K$14:$K$16</formula1>
    </dataValidation>
    <dataValidation type="list" allowBlank="1" showInputMessage="1" showErrorMessage="1" sqref="C35" xr:uid="{00000000-0002-0000-0000-00000E000000}">
      <formula1>$K$10:$K$12</formula1>
    </dataValidation>
    <dataValidation type="list" allowBlank="1" showInputMessage="1" showErrorMessage="1" sqref="C34:D34" xr:uid="{00000000-0002-0000-0000-00000F000000}">
      <formula1>$K$6:$K$8</formula1>
    </dataValidation>
    <dataValidation type="decimal" allowBlank="1" showInputMessage="1" showErrorMessage="1" errorTitle="SOUNDER LOAD" error="Range is 0 to 0.1A" promptTitle="SOUNDER LOAD" prompt="Range: 0 to 0.1A" sqref="F51:F52" xr:uid="{00000000-0002-0000-0000-000010000000}">
      <formula1>0</formula1>
      <formula2>0.1</formula2>
    </dataValidation>
    <dataValidation type="decimal" allowBlank="1" showInputMessage="1" showErrorMessage="1" errorTitle="AUX LOAD MAXIMUM" error="Range is 0 to 0.1A" promptTitle="PANEL AUX LOAD" prompt="Enter quiescent load supplied from Panel AUX. Max 0.1A" sqref="C49" xr:uid="{00000000-0002-0000-0000-000011000000}">
      <formula1>0</formula1>
      <formula2>0.1</formula2>
    </dataValidation>
    <dataValidation type="decimal" allowBlank="1" showInputMessage="1" showErrorMessage="1" errorTitle="AUX LOAD" error="Range is 0 to 0.1A" promptTitle="PANEL AUX LOAD" prompt="Enter alarm load supplied from Panel AUX. Max 0.1A" sqref="F49" xr:uid="{00000000-0002-0000-0000-000013000000}">
      <formula1>0</formula1>
      <formula2>0.1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87"/>
  <sheetViews>
    <sheetView zoomScale="81" zoomScaleNormal="81" workbookViewId="0">
      <selection activeCell="B6" sqref="B6"/>
    </sheetView>
  </sheetViews>
  <sheetFormatPr defaultColWidth="8.88671875" defaultRowHeight="15.6" x14ac:dyDescent="0.3"/>
  <cols>
    <col min="1" max="1" width="79" style="19" customWidth="1"/>
    <col min="2" max="2" width="5.33203125" style="16" customWidth="1"/>
    <col min="3" max="3" width="12.44140625" style="19" customWidth="1"/>
    <col min="4" max="4" width="18.44140625" style="19" customWidth="1"/>
    <col min="5" max="6" width="19.6640625" style="19" customWidth="1"/>
    <col min="7" max="10" width="13.5546875" style="19" customWidth="1"/>
    <col min="11" max="11" width="16.6640625" style="19" customWidth="1"/>
    <col min="12" max="16384" width="8.88671875" style="20"/>
  </cols>
  <sheetData>
    <row r="1" spans="1:13" ht="30" customHeight="1" thickBot="1" x14ac:dyDescent="0.35">
      <c r="A1" s="18" t="s">
        <v>6</v>
      </c>
      <c r="B1" s="55"/>
    </row>
    <row r="2" spans="1:13" ht="15.75" customHeight="1" thickBot="1" x14ac:dyDescent="0.35">
      <c r="A2" s="157"/>
      <c r="B2" s="146"/>
      <c r="C2" s="147"/>
      <c r="D2" s="147"/>
      <c r="E2" s="147"/>
      <c r="F2" s="147"/>
      <c r="G2" s="147" t="s">
        <v>36</v>
      </c>
      <c r="H2" s="147"/>
      <c r="I2" s="179" t="s">
        <v>131</v>
      </c>
      <c r="J2" s="179" t="s">
        <v>132</v>
      </c>
      <c r="K2" s="148"/>
    </row>
    <row r="3" spans="1:13" ht="15.6" customHeight="1" x14ac:dyDescent="0.3">
      <c r="A3" s="145" t="s">
        <v>211</v>
      </c>
      <c r="B3" s="149" t="s">
        <v>0</v>
      </c>
      <c r="C3" s="150" t="s">
        <v>2</v>
      </c>
      <c r="D3" s="150" t="s">
        <v>1</v>
      </c>
      <c r="E3" s="150" t="s">
        <v>3</v>
      </c>
      <c r="F3" s="150" t="s">
        <v>4</v>
      </c>
      <c r="G3" s="150" t="s">
        <v>37</v>
      </c>
      <c r="H3" s="150" t="s">
        <v>38</v>
      </c>
      <c r="I3" s="180"/>
      <c r="J3" s="180"/>
      <c r="K3" s="151" t="s">
        <v>5</v>
      </c>
    </row>
    <row r="4" spans="1:13" ht="15.6" customHeight="1" thickBot="1" x14ac:dyDescent="0.35">
      <c r="A4" s="158" t="s">
        <v>209</v>
      </c>
      <c r="B4" s="149"/>
      <c r="C4" s="150"/>
      <c r="D4" s="150"/>
      <c r="E4" s="150"/>
      <c r="F4" s="152"/>
      <c r="G4" s="152"/>
      <c r="H4" s="152"/>
      <c r="I4" s="181"/>
      <c r="J4" s="181"/>
      <c r="K4" s="151"/>
    </row>
    <row r="5" spans="1:13" ht="15.6" customHeight="1" thickBot="1" x14ac:dyDescent="0.35">
      <c r="A5" s="160" t="s">
        <v>210</v>
      </c>
      <c r="B5" s="153">
        <v>5</v>
      </c>
      <c r="C5" s="31">
        <v>0</v>
      </c>
      <c r="D5" s="32">
        <f>B5*C5</f>
        <v>0</v>
      </c>
      <c r="E5" s="33">
        <v>5.0000000000000001E-3</v>
      </c>
      <c r="F5" s="34">
        <f>B5*E5</f>
        <v>2.5000000000000001E-2</v>
      </c>
      <c r="G5" s="35">
        <v>0</v>
      </c>
      <c r="H5" s="36"/>
      <c r="I5" s="36"/>
      <c r="J5" s="36"/>
      <c r="K5" s="22"/>
    </row>
    <row r="6" spans="1:13" ht="15.6" customHeight="1" x14ac:dyDescent="0.3">
      <c r="A6" s="159" t="s">
        <v>133</v>
      </c>
      <c r="B6" s="140"/>
      <c r="C6" s="141"/>
      <c r="D6" s="142"/>
      <c r="E6" s="143"/>
      <c r="F6" s="34"/>
      <c r="G6" s="35"/>
      <c r="H6" s="36"/>
      <c r="I6" s="36"/>
      <c r="J6" s="36"/>
      <c r="K6" s="144"/>
    </row>
    <row r="7" spans="1:13" ht="15.6" customHeight="1" x14ac:dyDescent="0.3">
      <c r="A7" s="128" t="s">
        <v>138</v>
      </c>
      <c r="B7" s="10"/>
      <c r="C7" s="37">
        <v>1.7000000000000001E-4</v>
      </c>
      <c r="D7" s="38">
        <f>B7*C7</f>
        <v>0</v>
      </c>
      <c r="E7" s="37">
        <v>1.7000000000000001E-4</v>
      </c>
      <c r="F7" s="39">
        <f>B7*E7</f>
        <v>0</v>
      </c>
      <c r="G7" s="35">
        <v>1</v>
      </c>
      <c r="H7" s="35">
        <f>B7*G7</f>
        <v>0</v>
      </c>
      <c r="I7" s="35"/>
      <c r="J7" s="35"/>
      <c r="K7" s="23"/>
    </row>
    <row r="8" spans="1:13" ht="15.6" customHeight="1" x14ac:dyDescent="0.3">
      <c r="A8" s="128" t="s">
        <v>139</v>
      </c>
      <c r="B8" s="10"/>
      <c r="C8" s="37">
        <v>2.2000000000000001E-4</v>
      </c>
      <c r="D8" s="38">
        <f t="shared" ref="D8:D69" si="0">B8*C8</f>
        <v>0</v>
      </c>
      <c r="E8" s="37">
        <v>2.2000000000000001E-4</v>
      </c>
      <c r="F8" s="39">
        <f>B8*E8</f>
        <v>0</v>
      </c>
      <c r="G8" s="35">
        <v>1</v>
      </c>
      <c r="H8" s="35">
        <f>B8*G8</f>
        <v>0</v>
      </c>
      <c r="I8" s="35">
        <v>0.05</v>
      </c>
      <c r="J8" s="35">
        <f>B8*I8</f>
        <v>0</v>
      </c>
      <c r="K8" s="23"/>
    </row>
    <row r="9" spans="1:13" ht="15.6" customHeight="1" x14ac:dyDescent="0.3">
      <c r="A9" s="128" t="s">
        <v>140</v>
      </c>
      <c r="B9" s="10"/>
      <c r="C9" s="37">
        <v>1.7000000000000001E-4</v>
      </c>
      <c r="D9" s="38">
        <f t="shared" si="0"/>
        <v>0</v>
      </c>
      <c r="E9" s="37">
        <v>1.7000000000000001E-4</v>
      </c>
      <c r="F9" s="39">
        <f t="shared" ref="F9:F69" si="1">B9*E9</f>
        <v>0</v>
      </c>
      <c r="G9" s="35">
        <v>1</v>
      </c>
      <c r="H9" s="35">
        <f t="shared" ref="H9:H69" si="2">B9*G9</f>
        <v>0</v>
      </c>
      <c r="I9" s="35"/>
      <c r="J9" s="35"/>
      <c r="K9" s="23"/>
    </row>
    <row r="10" spans="1:13" ht="15.6" customHeight="1" x14ac:dyDescent="0.3">
      <c r="A10" s="128" t="s">
        <v>145</v>
      </c>
      <c r="B10" s="10"/>
      <c r="C10" s="37">
        <v>1.7000000000000001E-4</v>
      </c>
      <c r="D10" s="38">
        <f t="shared" si="0"/>
        <v>0</v>
      </c>
      <c r="E10" s="37">
        <v>1.7000000000000001E-4</v>
      </c>
      <c r="F10" s="39">
        <f t="shared" si="1"/>
        <v>0</v>
      </c>
      <c r="G10" s="35">
        <v>1</v>
      </c>
      <c r="H10" s="35">
        <f t="shared" si="2"/>
        <v>0</v>
      </c>
      <c r="I10" s="35"/>
      <c r="J10" s="35"/>
      <c r="K10" s="23"/>
    </row>
    <row r="11" spans="1:13" ht="15.6" customHeight="1" x14ac:dyDescent="0.3">
      <c r="A11" s="128" t="s">
        <v>146</v>
      </c>
      <c r="B11" s="10"/>
      <c r="C11" s="37">
        <v>1.7000000000000001E-4</v>
      </c>
      <c r="D11" s="38">
        <f t="shared" si="0"/>
        <v>0</v>
      </c>
      <c r="E11" s="37">
        <v>1.7000000000000001E-4</v>
      </c>
      <c r="F11" s="39">
        <f t="shared" si="1"/>
        <v>0</v>
      </c>
      <c r="G11" s="35">
        <v>1</v>
      </c>
      <c r="H11" s="35">
        <f t="shared" si="2"/>
        <v>0</v>
      </c>
      <c r="I11" s="35"/>
      <c r="J11" s="35"/>
      <c r="K11" s="23"/>
      <c r="M11" s="125"/>
    </row>
    <row r="12" spans="1:13" ht="15.6" customHeight="1" x14ac:dyDescent="0.3">
      <c r="A12" s="128" t="s">
        <v>141</v>
      </c>
      <c r="B12" s="10"/>
      <c r="C12" s="37">
        <v>2.2000000000000001E-4</v>
      </c>
      <c r="D12" s="38">
        <f t="shared" si="0"/>
        <v>0</v>
      </c>
      <c r="E12" s="37">
        <v>2.2000000000000001E-4</v>
      </c>
      <c r="F12" s="39">
        <f>B12*E12</f>
        <v>0</v>
      </c>
      <c r="G12" s="35">
        <v>1</v>
      </c>
      <c r="H12" s="35">
        <f t="shared" si="2"/>
        <v>0</v>
      </c>
      <c r="I12" s="35">
        <v>0.05</v>
      </c>
      <c r="J12" s="35">
        <f>B12*I12</f>
        <v>0</v>
      </c>
      <c r="K12" s="23"/>
      <c r="M12" s="125"/>
    </row>
    <row r="13" spans="1:13" ht="15.6" customHeight="1" x14ac:dyDescent="0.3">
      <c r="A13" s="128" t="s">
        <v>142</v>
      </c>
      <c r="B13" s="10"/>
      <c r="C13" s="37">
        <v>1.7000000000000001E-4</v>
      </c>
      <c r="D13" s="38">
        <f t="shared" si="0"/>
        <v>0</v>
      </c>
      <c r="E13" s="37">
        <v>1.7000000000000001E-4</v>
      </c>
      <c r="F13" s="39">
        <f t="shared" si="1"/>
        <v>0</v>
      </c>
      <c r="G13" s="35">
        <v>2</v>
      </c>
      <c r="H13" s="35">
        <f t="shared" si="2"/>
        <v>0</v>
      </c>
      <c r="I13" s="35"/>
      <c r="J13" s="35"/>
      <c r="K13" s="23"/>
    </row>
    <row r="14" spans="1:13" ht="15.6" customHeight="1" x14ac:dyDescent="0.3">
      <c r="A14" s="128" t="s">
        <v>143</v>
      </c>
      <c r="B14" s="10"/>
      <c r="C14" s="37">
        <v>2.2000000000000001E-4</v>
      </c>
      <c r="D14" s="38">
        <f t="shared" si="0"/>
        <v>0</v>
      </c>
      <c r="E14" s="37">
        <v>2.2000000000000001E-4</v>
      </c>
      <c r="F14" s="39">
        <f>B14*E14</f>
        <v>0</v>
      </c>
      <c r="G14" s="35">
        <v>2</v>
      </c>
      <c r="H14" s="35">
        <f t="shared" si="2"/>
        <v>0</v>
      </c>
      <c r="I14" s="35">
        <v>0.05</v>
      </c>
      <c r="J14" s="35">
        <f>B14*I14</f>
        <v>0</v>
      </c>
      <c r="K14" s="23"/>
    </row>
    <row r="15" spans="1:13" ht="15.6" customHeight="1" x14ac:dyDescent="0.3">
      <c r="A15" s="129" t="s">
        <v>144</v>
      </c>
      <c r="B15" s="10"/>
      <c r="C15" s="37">
        <v>1.7000000000000001E-4</v>
      </c>
      <c r="D15" s="38">
        <f t="shared" si="0"/>
        <v>0</v>
      </c>
      <c r="E15" s="37">
        <v>1.7000000000000001E-4</v>
      </c>
      <c r="F15" s="39">
        <f t="shared" si="1"/>
        <v>0</v>
      </c>
      <c r="G15" s="35">
        <v>2</v>
      </c>
      <c r="H15" s="35">
        <f t="shared" si="2"/>
        <v>0</v>
      </c>
      <c r="I15" s="35"/>
      <c r="J15" s="35"/>
      <c r="K15" s="23"/>
    </row>
    <row r="16" spans="1:13" ht="15.6" customHeight="1" x14ac:dyDescent="0.3">
      <c r="A16" s="129" t="s">
        <v>147</v>
      </c>
      <c r="B16" s="10"/>
      <c r="C16" s="37">
        <v>1.7000000000000001E-4</v>
      </c>
      <c r="D16" s="38">
        <f t="shared" si="0"/>
        <v>0</v>
      </c>
      <c r="E16" s="37">
        <v>1.7000000000000001E-4</v>
      </c>
      <c r="F16" s="39">
        <f t="shared" si="1"/>
        <v>0</v>
      </c>
      <c r="G16" s="35">
        <v>2</v>
      </c>
      <c r="H16" s="35">
        <f t="shared" si="2"/>
        <v>0</v>
      </c>
      <c r="I16" s="35"/>
      <c r="J16" s="35"/>
      <c r="K16" s="23"/>
    </row>
    <row r="17" spans="1:29" ht="15.6" customHeight="1" x14ac:dyDescent="0.3">
      <c r="A17" s="128" t="s">
        <v>148</v>
      </c>
      <c r="B17" s="10"/>
      <c r="C17" s="37">
        <v>1.7000000000000001E-4</v>
      </c>
      <c r="D17" s="38">
        <f t="shared" si="0"/>
        <v>0</v>
      </c>
      <c r="E17" s="37">
        <v>3.5000000000000001E-3</v>
      </c>
      <c r="F17" s="39">
        <f t="shared" si="1"/>
        <v>0</v>
      </c>
      <c r="G17" s="35">
        <v>2</v>
      </c>
      <c r="H17" s="35">
        <f t="shared" si="2"/>
        <v>0</v>
      </c>
      <c r="I17" s="35"/>
      <c r="J17" s="35"/>
      <c r="K17" s="23"/>
    </row>
    <row r="18" spans="1:29" x14ac:dyDescent="0.3">
      <c r="A18" s="130" t="s">
        <v>149</v>
      </c>
      <c r="B18" s="10"/>
      <c r="C18" s="40">
        <v>1.7000000000000001E-4</v>
      </c>
      <c r="D18" s="41">
        <f t="shared" si="0"/>
        <v>0</v>
      </c>
      <c r="E18" s="40">
        <v>3.5000000000000001E-3</v>
      </c>
      <c r="F18" s="42">
        <f t="shared" si="1"/>
        <v>0</v>
      </c>
      <c r="G18" s="42">
        <v>2</v>
      </c>
      <c r="H18" s="35">
        <f t="shared" si="2"/>
        <v>0</v>
      </c>
      <c r="I18" s="35"/>
      <c r="J18" s="35"/>
      <c r="K18" s="21"/>
    </row>
    <row r="19" spans="1:29" ht="15.6" customHeight="1" x14ac:dyDescent="0.3">
      <c r="A19" s="154" t="s">
        <v>150</v>
      </c>
      <c r="B19" s="10"/>
      <c r="C19" s="43"/>
      <c r="D19" s="38"/>
      <c r="E19" s="44"/>
      <c r="F19" s="39"/>
      <c r="G19" s="39"/>
      <c r="H19" s="35"/>
      <c r="I19" s="35"/>
      <c r="J19" s="35"/>
      <c r="K19" s="25"/>
    </row>
    <row r="20" spans="1:29" ht="15.6" customHeight="1" x14ac:dyDescent="0.3">
      <c r="A20" s="131" t="s">
        <v>151</v>
      </c>
      <c r="B20" s="10"/>
      <c r="C20" s="37">
        <v>0</v>
      </c>
      <c r="D20" s="38">
        <f t="shared" si="0"/>
        <v>0</v>
      </c>
      <c r="E20" s="38">
        <v>0</v>
      </c>
      <c r="F20" s="39">
        <f t="shared" si="1"/>
        <v>0</v>
      </c>
      <c r="G20" s="39">
        <v>0</v>
      </c>
      <c r="H20" s="35">
        <f t="shared" si="2"/>
        <v>0</v>
      </c>
      <c r="I20" s="35"/>
      <c r="J20" s="35"/>
      <c r="K20" s="25"/>
    </row>
    <row r="21" spans="1:29" ht="15.6" customHeight="1" x14ac:dyDescent="0.3">
      <c r="A21" s="131" t="s">
        <v>213</v>
      </c>
      <c r="B21" s="10"/>
      <c r="C21" s="37">
        <v>0</v>
      </c>
      <c r="D21" s="38">
        <f t="shared" si="0"/>
        <v>0</v>
      </c>
      <c r="E21" s="38">
        <v>0</v>
      </c>
      <c r="F21" s="39">
        <f t="shared" si="1"/>
        <v>0</v>
      </c>
      <c r="G21" s="39">
        <v>0</v>
      </c>
      <c r="H21" s="35">
        <f t="shared" si="2"/>
        <v>0</v>
      </c>
      <c r="I21" s="35"/>
      <c r="J21" s="35"/>
      <c r="K21" s="25"/>
    </row>
    <row r="22" spans="1:29" ht="15.6" customHeight="1" x14ac:dyDescent="0.3">
      <c r="A22" s="131" t="s">
        <v>214</v>
      </c>
      <c r="B22" s="10"/>
      <c r="C22" s="45">
        <v>0</v>
      </c>
      <c r="D22" s="38">
        <f t="shared" si="0"/>
        <v>0</v>
      </c>
      <c r="E22" s="46">
        <v>0</v>
      </c>
      <c r="F22" s="39">
        <f t="shared" si="1"/>
        <v>0</v>
      </c>
      <c r="G22" s="39">
        <v>0</v>
      </c>
      <c r="H22" s="35">
        <f t="shared" si="2"/>
        <v>0</v>
      </c>
      <c r="I22" s="35"/>
      <c r="J22" s="35"/>
      <c r="K22" s="26"/>
    </row>
    <row r="23" spans="1:29" ht="15.6" customHeight="1" x14ac:dyDescent="0.3">
      <c r="A23" s="132" t="s">
        <v>215</v>
      </c>
      <c r="B23" s="10"/>
      <c r="C23" s="48">
        <v>6.0000000000000002E-5</v>
      </c>
      <c r="D23" s="38">
        <f t="shared" si="0"/>
        <v>0</v>
      </c>
      <c r="E23" s="47">
        <v>6.0000000000000002E-5</v>
      </c>
      <c r="F23" s="39">
        <f t="shared" si="1"/>
        <v>0</v>
      </c>
      <c r="G23" s="39">
        <v>0</v>
      </c>
      <c r="H23" s="35">
        <f t="shared" si="2"/>
        <v>0</v>
      </c>
      <c r="I23" s="35">
        <v>0.12</v>
      </c>
      <c r="J23" s="35">
        <f>B23*I23</f>
        <v>0</v>
      </c>
      <c r="K23" s="24"/>
    </row>
    <row r="24" spans="1:29" ht="15.6" customHeight="1" x14ac:dyDescent="0.3">
      <c r="A24" s="132" t="s">
        <v>216</v>
      </c>
      <c r="B24" s="10"/>
      <c r="C24" s="48">
        <v>6.0000000000000002E-5</v>
      </c>
      <c r="D24" s="38">
        <f t="shared" si="0"/>
        <v>0</v>
      </c>
      <c r="E24" s="47">
        <v>6.0000000000000002E-5</v>
      </c>
      <c r="F24" s="39">
        <f t="shared" si="1"/>
        <v>0</v>
      </c>
      <c r="G24" s="39">
        <v>0</v>
      </c>
      <c r="H24" s="35">
        <f t="shared" si="2"/>
        <v>0</v>
      </c>
      <c r="I24" s="35">
        <v>0.12</v>
      </c>
      <c r="J24" s="35">
        <f>B24*I24</f>
        <v>0</v>
      </c>
      <c r="K24" s="24"/>
    </row>
    <row r="25" spans="1:29" ht="15.6" customHeight="1" x14ac:dyDescent="0.3">
      <c r="A25" s="132" t="s">
        <v>152</v>
      </c>
      <c r="B25" s="10"/>
      <c r="C25" s="48">
        <v>6.0000000000000002E-5</v>
      </c>
      <c r="D25" s="38">
        <f t="shared" si="0"/>
        <v>0</v>
      </c>
      <c r="E25" s="47">
        <v>6.0000000000000002E-5</v>
      </c>
      <c r="F25" s="39">
        <f t="shared" si="1"/>
        <v>0</v>
      </c>
      <c r="G25" s="39">
        <v>0</v>
      </c>
      <c r="H25" s="35">
        <f t="shared" si="2"/>
        <v>0</v>
      </c>
      <c r="I25" s="35">
        <v>0.12</v>
      </c>
      <c r="J25" s="35">
        <f>B25*I25</f>
        <v>0</v>
      </c>
      <c r="K25" s="24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15.6" customHeight="1" x14ac:dyDescent="0.3">
      <c r="A26" s="155" t="s">
        <v>134</v>
      </c>
      <c r="B26" s="10"/>
      <c r="C26" s="48"/>
      <c r="D26" s="38"/>
      <c r="E26" s="47"/>
      <c r="F26" s="39"/>
      <c r="G26" s="39"/>
      <c r="H26" s="35"/>
      <c r="I26" s="35"/>
      <c r="J26" s="35"/>
      <c r="K26" s="24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ht="15.6" customHeight="1" x14ac:dyDescent="0.3">
      <c r="A27" s="128" t="s">
        <v>153</v>
      </c>
      <c r="B27" s="10"/>
      <c r="C27" s="37">
        <v>2.0000000000000001E-4</v>
      </c>
      <c r="D27" s="38">
        <f t="shared" si="0"/>
        <v>0</v>
      </c>
      <c r="E27" s="38">
        <v>2.0000000000000001E-4</v>
      </c>
      <c r="F27" s="39">
        <f t="shared" si="1"/>
        <v>0</v>
      </c>
      <c r="G27" s="39">
        <v>1</v>
      </c>
      <c r="H27" s="35">
        <f t="shared" si="2"/>
        <v>0</v>
      </c>
      <c r="I27" s="35"/>
      <c r="J27" s="35"/>
      <c r="K27" s="26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15.6" customHeight="1" x14ac:dyDescent="0.3">
      <c r="A28" s="128" t="s">
        <v>154</v>
      </c>
      <c r="B28" s="10"/>
      <c r="C28" s="37">
        <v>2.0000000000000001E-4</v>
      </c>
      <c r="D28" s="38">
        <f t="shared" si="0"/>
        <v>0</v>
      </c>
      <c r="E28" s="38">
        <v>2.0000000000000001E-4</v>
      </c>
      <c r="F28" s="39">
        <f t="shared" si="1"/>
        <v>0</v>
      </c>
      <c r="G28" s="39">
        <v>1</v>
      </c>
      <c r="H28" s="35">
        <f t="shared" si="2"/>
        <v>0</v>
      </c>
      <c r="I28" s="35"/>
      <c r="J28" s="35"/>
      <c r="K28" s="26"/>
    </row>
    <row r="29" spans="1:29" x14ac:dyDescent="0.3">
      <c r="A29" s="130" t="s">
        <v>155</v>
      </c>
      <c r="B29" s="10"/>
      <c r="C29" s="40">
        <v>2.0000000000000001E-4</v>
      </c>
      <c r="D29" s="41">
        <f t="shared" si="0"/>
        <v>0</v>
      </c>
      <c r="E29" s="41">
        <v>2.0000000000000001E-4</v>
      </c>
      <c r="F29" s="42">
        <f t="shared" si="1"/>
        <v>0</v>
      </c>
      <c r="G29" s="42">
        <v>1</v>
      </c>
      <c r="H29" s="35">
        <f t="shared" si="2"/>
        <v>0</v>
      </c>
      <c r="I29" s="35"/>
      <c r="J29" s="35"/>
      <c r="K29" s="21"/>
    </row>
    <row r="30" spans="1:29" x14ac:dyDescent="0.3">
      <c r="A30" s="130" t="s">
        <v>156</v>
      </c>
      <c r="B30" s="10"/>
      <c r="C30" s="40">
        <v>2.0000000000000001E-4</v>
      </c>
      <c r="D30" s="41">
        <f t="shared" si="0"/>
        <v>0</v>
      </c>
      <c r="E30" s="41">
        <v>2.0000000000000001E-4</v>
      </c>
      <c r="F30" s="42">
        <f t="shared" si="1"/>
        <v>0</v>
      </c>
      <c r="G30" s="42">
        <v>1</v>
      </c>
      <c r="H30" s="35">
        <f t="shared" si="2"/>
        <v>0</v>
      </c>
      <c r="I30" s="35"/>
      <c r="J30" s="35"/>
      <c r="K30" s="21"/>
    </row>
    <row r="31" spans="1:29" ht="15.6" customHeight="1" x14ac:dyDescent="0.3">
      <c r="A31" s="132" t="s">
        <v>157</v>
      </c>
      <c r="B31" s="10"/>
      <c r="C31" s="37">
        <v>2.0000000000000001E-4</v>
      </c>
      <c r="D31" s="38">
        <f t="shared" si="0"/>
        <v>0</v>
      </c>
      <c r="E31" s="38">
        <v>2.0000000000000001E-4</v>
      </c>
      <c r="F31" s="39">
        <f t="shared" si="1"/>
        <v>0</v>
      </c>
      <c r="G31" s="39">
        <v>1</v>
      </c>
      <c r="H31" s="35">
        <f t="shared" si="2"/>
        <v>0</v>
      </c>
      <c r="I31" s="35">
        <v>0.15</v>
      </c>
      <c r="J31" s="35">
        <f>B31*I31</f>
        <v>0</v>
      </c>
      <c r="K31" s="24"/>
    </row>
    <row r="32" spans="1:29" ht="15.6" customHeight="1" x14ac:dyDescent="0.3">
      <c r="A32" s="132" t="s">
        <v>158</v>
      </c>
      <c r="B32" s="10"/>
      <c r="C32" s="37">
        <v>2.0000000000000001E-4</v>
      </c>
      <c r="D32" s="38">
        <f t="shared" si="0"/>
        <v>0</v>
      </c>
      <c r="E32" s="38">
        <v>2.0000000000000001E-4</v>
      </c>
      <c r="F32" s="39">
        <f t="shared" si="1"/>
        <v>0</v>
      </c>
      <c r="G32" s="39">
        <v>1</v>
      </c>
      <c r="H32" s="35">
        <f t="shared" si="2"/>
        <v>0</v>
      </c>
      <c r="I32" s="35">
        <v>0.15</v>
      </c>
      <c r="J32" s="35">
        <f>B32*I32</f>
        <v>0</v>
      </c>
      <c r="K32" s="24"/>
    </row>
    <row r="33" spans="1:29" ht="15.6" customHeight="1" x14ac:dyDescent="0.3">
      <c r="A33" s="154" t="s">
        <v>135</v>
      </c>
      <c r="B33" s="10"/>
      <c r="C33" s="45"/>
      <c r="D33" s="38"/>
      <c r="E33" s="46"/>
      <c r="F33" s="39"/>
      <c r="G33" s="39"/>
      <c r="H33" s="35"/>
      <c r="I33" s="35"/>
      <c r="J33" s="35"/>
      <c r="K33" s="26"/>
    </row>
    <row r="34" spans="1:29" ht="15.6" customHeight="1" x14ac:dyDescent="0.3">
      <c r="A34" s="131" t="s">
        <v>159</v>
      </c>
      <c r="B34" s="10"/>
      <c r="C34" s="48">
        <v>2.0000000000000001E-4</v>
      </c>
      <c r="D34" s="38">
        <f t="shared" si="0"/>
        <v>0</v>
      </c>
      <c r="E34" s="47">
        <v>4.0000000000000001E-3</v>
      </c>
      <c r="F34" s="39">
        <f t="shared" si="1"/>
        <v>0</v>
      </c>
      <c r="G34" s="39">
        <v>1</v>
      </c>
      <c r="H34" s="35">
        <f t="shared" si="2"/>
        <v>0</v>
      </c>
      <c r="I34" s="35"/>
      <c r="J34" s="35"/>
      <c r="K34" s="24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ht="15.6" customHeight="1" x14ac:dyDescent="0.3">
      <c r="A35" s="131" t="s">
        <v>160</v>
      </c>
      <c r="B35" s="10"/>
      <c r="C35" s="48">
        <v>2.0000000000000001E-4</v>
      </c>
      <c r="D35" s="38">
        <f t="shared" si="0"/>
        <v>0</v>
      </c>
      <c r="E35" s="47">
        <v>4.0000000000000001E-3</v>
      </c>
      <c r="F35" s="39">
        <f t="shared" si="1"/>
        <v>0</v>
      </c>
      <c r="G35" s="39">
        <v>1</v>
      </c>
      <c r="H35" s="35">
        <f t="shared" si="2"/>
        <v>0</v>
      </c>
      <c r="I35" s="35"/>
      <c r="J35" s="35"/>
      <c r="K35" s="24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ht="15.6" customHeight="1" x14ac:dyDescent="0.3">
      <c r="A36" s="128"/>
      <c r="B36" s="10"/>
      <c r="C36" s="45"/>
      <c r="D36" s="38"/>
      <c r="E36" s="46"/>
      <c r="F36" s="39"/>
      <c r="G36" s="39"/>
      <c r="H36" s="35"/>
      <c r="I36" s="35"/>
      <c r="J36" s="35"/>
      <c r="K36" s="26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ht="15.6" customHeight="1" x14ac:dyDescent="0.3">
      <c r="A37" s="130" t="s">
        <v>161</v>
      </c>
      <c r="B37" s="10"/>
      <c r="C37" s="48">
        <v>2.0000000000000001E-4</v>
      </c>
      <c r="D37" s="38">
        <f t="shared" si="0"/>
        <v>0</v>
      </c>
      <c r="E37" s="46">
        <v>0.02</v>
      </c>
      <c r="F37" s="39">
        <f t="shared" si="1"/>
        <v>0</v>
      </c>
      <c r="G37" s="39">
        <v>1</v>
      </c>
      <c r="H37" s="35">
        <f t="shared" si="2"/>
        <v>0</v>
      </c>
      <c r="I37" s="35">
        <v>0.15</v>
      </c>
      <c r="J37" s="35">
        <f>B37*I37</f>
        <v>0</v>
      </c>
      <c r="K37" s="24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ht="15.6" customHeight="1" x14ac:dyDescent="0.3">
      <c r="A38" s="130" t="s">
        <v>162</v>
      </c>
      <c r="B38" s="10"/>
      <c r="C38" s="48">
        <v>2.0000000000000001E-4</v>
      </c>
      <c r="D38" s="38">
        <f t="shared" si="0"/>
        <v>0</v>
      </c>
      <c r="E38" s="46">
        <v>0.02</v>
      </c>
      <c r="F38" s="39">
        <f t="shared" si="1"/>
        <v>0</v>
      </c>
      <c r="G38" s="39">
        <v>1</v>
      </c>
      <c r="H38" s="35">
        <f t="shared" si="2"/>
        <v>0</v>
      </c>
      <c r="I38" s="35">
        <v>0.15</v>
      </c>
      <c r="J38" s="35">
        <f>B38*I38</f>
        <v>0</v>
      </c>
      <c r="K38" s="24"/>
    </row>
    <row r="39" spans="1:29" ht="15.6" customHeight="1" x14ac:dyDescent="0.3">
      <c r="A39" s="130" t="s">
        <v>163</v>
      </c>
      <c r="B39" s="10"/>
      <c r="C39" s="48">
        <v>2.0000000000000001E-4</v>
      </c>
      <c r="D39" s="38">
        <f t="shared" si="0"/>
        <v>0</v>
      </c>
      <c r="E39" s="46">
        <v>0.02</v>
      </c>
      <c r="F39" s="39">
        <f t="shared" si="1"/>
        <v>0</v>
      </c>
      <c r="G39" s="39">
        <v>1</v>
      </c>
      <c r="H39" s="35">
        <f t="shared" si="2"/>
        <v>0</v>
      </c>
      <c r="I39" s="35">
        <v>0.15</v>
      </c>
      <c r="J39" s="35">
        <f>B39*I39</f>
        <v>0</v>
      </c>
      <c r="K39" s="24"/>
    </row>
    <row r="40" spans="1:29" ht="15.6" customHeight="1" x14ac:dyDescent="0.3">
      <c r="A40" s="128" t="s">
        <v>164</v>
      </c>
      <c r="B40" s="10"/>
      <c r="C40" s="48">
        <v>2.0000000000000001E-4</v>
      </c>
      <c r="D40" s="38">
        <f t="shared" si="0"/>
        <v>0</v>
      </c>
      <c r="E40" s="46">
        <v>0.02</v>
      </c>
      <c r="F40" s="39">
        <f t="shared" si="1"/>
        <v>0</v>
      </c>
      <c r="G40" s="39">
        <v>1</v>
      </c>
      <c r="H40" s="35">
        <f t="shared" si="2"/>
        <v>0</v>
      </c>
      <c r="I40" s="35"/>
      <c r="J40" s="35"/>
      <c r="K40" s="26"/>
    </row>
    <row r="41" spans="1:29" ht="15.6" customHeight="1" x14ac:dyDescent="0.3">
      <c r="A41" s="128" t="s">
        <v>165</v>
      </c>
      <c r="B41" s="10"/>
      <c r="C41" s="48">
        <v>2.0000000000000001E-4</v>
      </c>
      <c r="D41" s="38">
        <f t="shared" si="0"/>
        <v>0</v>
      </c>
      <c r="E41" s="46">
        <v>0.02</v>
      </c>
      <c r="F41" s="39">
        <f t="shared" si="1"/>
        <v>0</v>
      </c>
      <c r="G41" s="39">
        <v>1</v>
      </c>
      <c r="H41" s="35">
        <f t="shared" si="2"/>
        <v>0</v>
      </c>
      <c r="I41" s="35"/>
      <c r="J41" s="35"/>
      <c r="K41" s="26"/>
    </row>
    <row r="42" spans="1:29" ht="15.6" customHeight="1" x14ac:dyDescent="0.3">
      <c r="A42" s="128" t="s">
        <v>166</v>
      </c>
      <c r="B42" s="10"/>
      <c r="C42" s="48">
        <v>2.0000000000000001E-4</v>
      </c>
      <c r="D42" s="38">
        <f t="shared" si="0"/>
        <v>0</v>
      </c>
      <c r="E42" s="46">
        <v>0.02</v>
      </c>
      <c r="F42" s="39">
        <f t="shared" si="1"/>
        <v>0</v>
      </c>
      <c r="G42" s="39">
        <v>1</v>
      </c>
      <c r="H42" s="35">
        <f t="shared" si="2"/>
        <v>0</v>
      </c>
      <c r="I42" s="35"/>
      <c r="J42" s="35"/>
      <c r="K42" s="26"/>
    </row>
    <row r="43" spans="1:29" ht="15.6" customHeight="1" x14ac:dyDescent="0.3">
      <c r="A43" s="133"/>
      <c r="B43" s="10"/>
      <c r="C43" s="45"/>
      <c r="D43" s="38"/>
      <c r="E43" s="46"/>
      <c r="F43" s="39"/>
      <c r="G43" s="39"/>
      <c r="H43" s="35"/>
      <c r="I43" s="35"/>
      <c r="J43" s="35"/>
      <c r="K43" s="26"/>
    </row>
    <row r="44" spans="1:29" ht="15.6" customHeight="1" x14ac:dyDescent="0.3">
      <c r="A44" s="128" t="s">
        <v>167</v>
      </c>
      <c r="B44" s="10"/>
      <c r="C44" s="45">
        <v>2.0000000000000001E-4</v>
      </c>
      <c r="D44" s="38">
        <f t="shared" si="0"/>
        <v>0</v>
      </c>
      <c r="E44" s="46">
        <v>9.4999999999999998E-3</v>
      </c>
      <c r="F44" s="39">
        <f t="shared" si="1"/>
        <v>0</v>
      </c>
      <c r="G44" s="39">
        <v>2</v>
      </c>
      <c r="H44" s="35">
        <f t="shared" si="2"/>
        <v>0</v>
      </c>
      <c r="I44" s="35"/>
      <c r="J44" s="35"/>
      <c r="K44" s="26"/>
    </row>
    <row r="45" spans="1:29" ht="15.6" customHeight="1" x14ac:dyDescent="0.3">
      <c r="A45" s="128" t="s">
        <v>168</v>
      </c>
      <c r="B45" s="10"/>
      <c r="C45" s="48">
        <v>2.0000000000000001E-4</v>
      </c>
      <c r="D45" s="38">
        <f t="shared" si="0"/>
        <v>0</v>
      </c>
      <c r="E45" s="47">
        <v>1.4E-2</v>
      </c>
      <c r="F45" s="39">
        <f t="shared" si="1"/>
        <v>0</v>
      </c>
      <c r="G45" s="39">
        <v>2</v>
      </c>
      <c r="H45" s="35">
        <f t="shared" si="2"/>
        <v>0</v>
      </c>
      <c r="I45" s="35"/>
      <c r="J45" s="35"/>
      <c r="K45" s="26"/>
    </row>
    <row r="46" spans="1:29" ht="15.6" customHeight="1" x14ac:dyDescent="0.3">
      <c r="A46" s="128" t="s">
        <v>169</v>
      </c>
      <c r="B46" s="10"/>
      <c r="C46" s="48">
        <v>2.0000000000000001E-4</v>
      </c>
      <c r="D46" s="38">
        <f t="shared" si="0"/>
        <v>0</v>
      </c>
      <c r="E46" s="47">
        <v>9.4999999999999998E-3</v>
      </c>
      <c r="F46" s="39">
        <f t="shared" si="1"/>
        <v>0</v>
      </c>
      <c r="G46" s="39">
        <v>2</v>
      </c>
      <c r="H46" s="35">
        <f t="shared" si="2"/>
        <v>0</v>
      </c>
      <c r="I46" s="35"/>
      <c r="J46" s="35"/>
      <c r="K46" s="26"/>
    </row>
    <row r="47" spans="1:29" ht="15.6" customHeight="1" x14ac:dyDescent="0.3">
      <c r="A47" s="128" t="s">
        <v>170</v>
      </c>
      <c r="B47" s="10"/>
      <c r="C47" s="48">
        <v>2.0000000000000001E-4</v>
      </c>
      <c r="D47" s="38">
        <f t="shared" si="0"/>
        <v>0</v>
      </c>
      <c r="E47" s="47">
        <v>1.4E-2</v>
      </c>
      <c r="F47" s="39">
        <f t="shared" si="1"/>
        <v>0</v>
      </c>
      <c r="G47" s="39">
        <v>2</v>
      </c>
      <c r="H47" s="35">
        <f t="shared" si="2"/>
        <v>0</v>
      </c>
      <c r="I47" s="35"/>
      <c r="J47" s="35"/>
      <c r="K47" s="26"/>
    </row>
    <row r="48" spans="1:29" ht="15.6" customHeight="1" x14ac:dyDescent="0.3">
      <c r="A48" s="128" t="s">
        <v>171</v>
      </c>
      <c r="B48" s="10"/>
      <c r="C48" s="45">
        <v>0</v>
      </c>
      <c r="D48" s="38">
        <f t="shared" si="0"/>
        <v>0</v>
      </c>
      <c r="E48" s="47">
        <v>6.1999999999999998E-3</v>
      </c>
      <c r="F48" s="39">
        <f t="shared" si="1"/>
        <v>0</v>
      </c>
      <c r="G48" s="39">
        <v>0</v>
      </c>
      <c r="H48" s="35">
        <f t="shared" si="2"/>
        <v>0</v>
      </c>
      <c r="I48" s="35"/>
      <c r="J48" s="35"/>
      <c r="K48" s="28"/>
    </row>
    <row r="49" spans="1:29" x14ac:dyDescent="0.3">
      <c r="A49" s="130" t="s">
        <v>172</v>
      </c>
      <c r="B49" s="10"/>
      <c r="C49" s="49">
        <v>0</v>
      </c>
      <c r="D49" s="41">
        <v>0</v>
      </c>
      <c r="E49" s="35">
        <v>8.9999999999999993E-3</v>
      </c>
      <c r="F49" s="42">
        <f t="shared" si="1"/>
        <v>0</v>
      </c>
      <c r="G49" s="42">
        <v>0</v>
      </c>
      <c r="H49" s="35">
        <f t="shared" si="2"/>
        <v>0</v>
      </c>
      <c r="I49" s="35"/>
      <c r="J49" s="35"/>
      <c r="K49" s="29"/>
    </row>
    <row r="50" spans="1:29" ht="15.6" customHeight="1" x14ac:dyDescent="0.3">
      <c r="A50" s="131" t="s">
        <v>173</v>
      </c>
      <c r="B50" s="10"/>
      <c r="C50" s="50">
        <v>1E-4</v>
      </c>
      <c r="D50" s="38">
        <f t="shared" si="0"/>
        <v>0</v>
      </c>
      <c r="E50" s="38">
        <v>2.0000000000000001E-4</v>
      </c>
      <c r="F50" s="39">
        <f t="shared" si="1"/>
        <v>0</v>
      </c>
      <c r="G50" s="39">
        <v>0</v>
      </c>
      <c r="H50" s="35">
        <f t="shared" si="2"/>
        <v>0</v>
      </c>
      <c r="I50" s="35"/>
      <c r="J50" s="35"/>
      <c r="K50" s="28"/>
      <c r="AC50" s="16"/>
    </row>
    <row r="51" spans="1:29" ht="15.6" customHeight="1" x14ac:dyDescent="0.3">
      <c r="A51" s="155" t="s">
        <v>136</v>
      </c>
      <c r="B51" s="10"/>
      <c r="C51" s="50"/>
      <c r="D51" s="38"/>
      <c r="E51" s="38"/>
      <c r="F51" s="39"/>
      <c r="G51" s="39"/>
      <c r="H51" s="35"/>
      <c r="I51" s="35"/>
      <c r="J51" s="35"/>
      <c r="K51" s="28"/>
      <c r="AC51" s="16"/>
    </row>
    <row r="52" spans="1:29" ht="15.6" customHeight="1" x14ac:dyDescent="0.3">
      <c r="A52" s="128" t="s">
        <v>174</v>
      </c>
      <c r="B52" s="10"/>
      <c r="C52" s="45">
        <v>2.1000000000000001E-4</v>
      </c>
      <c r="D52" s="38">
        <f t="shared" si="0"/>
        <v>0</v>
      </c>
      <c r="E52" s="47">
        <v>2.5000000000000001E-3</v>
      </c>
      <c r="F52" s="39">
        <f t="shared" si="1"/>
        <v>0</v>
      </c>
      <c r="G52" s="39">
        <v>1</v>
      </c>
      <c r="H52" s="35">
        <f t="shared" si="2"/>
        <v>0</v>
      </c>
      <c r="I52" s="35"/>
      <c r="J52" s="35"/>
      <c r="K52" s="26"/>
      <c r="AC52" s="16"/>
    </row>
    <row r="53" spans="1:29" ht="15.6" customHeight="1" x14ac:dyDescent="0.3">
      <c r="A53" s="128" t="s">
        <v>175</v>
      </c>
      <c r="B53" s="10"/>
      <c r="C53" s="45">
        <v>2.1000000000000001E-4</v>
      </c>
      <c r="D53" s="38">
        <f t="shared" si="0"/>
        <v>0</v>
      </c>
      <c r="E53" s="46">
        <v>2.5000000000000001E-3</v>
      </c>
      <c r="F53" s="39">
        <f t="shared" si="1"/>
        <v>0</v>
      </c>
      <c r="G53" s="39">
        <v>2</v>
      </c>
      <c r="H53" s="35">
        <f t="shared" si="2"/>
        <v>0</v>
      </c>
      <c r="I53" s="35"/>
      <c r="J53" s="35"/>
      <c r="K53" s="26"/>
    </row>
    <row r="54" spans="1:29" ht="15.6" customHeight="1" x14ac:dyDescent="0.3">
      <c r="A54" s="128" t="s">
        <v>176</v>
      </c>
      <c r="B54" s="10"/>
      <c r="C54" s="45">
        <v>2.1499999999999999E-4</v>
      </c>
      <c r="D54" s="38">
        <f t="shared" si="0"/>
        <v>0</v>
      </c>
      <c r="E54" s="47">
        <v>2.3500000000000001E-3</v>
      </c>
      <c r="F54" s="39">
        <f t="shared" si="1"/>
        <v>0</v>
      </c>
      <c r="G54" s="39">
        <v>2</v>
      </c>
      <c r="H54" s="35">
        <f t="shared" si="2"/>
        <v>0</v>
      </c>
      <c r="I54" s="35"/>
      <c r="J54" s="35"/>
      <c r="K54" s="26"/>
    </row>
    <row r="55" spans="1:29" ht="15.6" customHeight="1" x14ac:dyDescent="0.3">
      <c r="A55" s="128" t="s">
        <v>177</v>
      </c>
      <c r="B55" s="10"/>
      <c r="C55" s="45">
        <v>3.7500000000000001E-4</v>
      </c>
      <c r="D55" s="38">
        <f t="shared" si="0"/>
        <v>0</v>
      </c>
      <c r="E55" s="47">
        <v>2.5999999999999999E-3</v>
      </c>
      <c r="F55" s="39">
        <f t="shared" si="1"/>
        <v>0</v>
      </c>
      <c r="G55" s="39">
        <v>1</v>
      </c>
      <c r="H55" s="35">
        <f t="shared" si="2"/>
        <v>0</v>
      </c>
      <c r="I55" s="35"/>
      <c r="J55" s="35"/>
      <c r="K55" s="26"/>
    </row>
    <row r="56" spans="1:29" ht="15.6" customHeight="1" x14ac:dyDescent="0.3">
      <c r="A56" s="128" t="s">
        <v>178</v>
      </c>
      <c r="B56" s="10"/>
      <c r="C56" s="45">
        <v>2.2499999999999999E-4</v>
      </c>
      <c r="D56" s="38">
        <f t="shared" si="0"/>
        <v>0</v>
      </c>
      <c r="E56" s="46">
        <v>2.7499999999999998E-3</v>
      </c>
      <c r="F56" s="39">
        <f t="shared" si="1"/>
        <v>0</v>
      </c>
      <c r="G56" s="39">
        <v>2</v>
      </c>
      <c r="H56" s="35">
        <f t="shared" si="2"/>
        <v>0</v>
      </c>
      <c r="I56" s="39"/>
      <c r="J56" s="39"/>
      <c r="K56" s="27"/>
    </row>
    <row r="57" spans="1:29" ht="15.6" customHeight="1" x14ac:dyDescent="0.3">
      <c r="A57" s="128" t="s">
        <v>179</v>
      </c>
      <c r="B57" s="10"/>
      <c r="C57" s="45">
        <v>5.3E-3</v>
      </c>
      <c r="D57" s="38">
        <f t="shared" si="0"/>
        <v>0</v>
      </c>
      <c r="E57" s="46">
        <v>2.7499999999999998E-3</v>
      </c>
      <c r="F57" s="39">
        <f t="shared" si="1"/>
        <v>0</v>
      </c>
      <c r="G57" s="39">
        <v>1</v>
      </c>
      <c r="H57" s="35">
        <f t="shared" si="2"/>
        <v>0</v>
      </c>
      <c r="I57" s="39"/>
      <c r="J57" s="39"/>
      <c r="K57" s="27"/>
    </row>
    <row r="58" spans="1:29" ht="15.6" customHeight="1" x14ac:dyDescent="0.3">
      <c r="A58" s="128" t="s">
        <v>180</v>
      </c>
      <c r="B58" s="10"/>
      <c r="C58" s="45">
        <v>0</v>
      </c>
      <c r="D58" s="38">
        <f t="shared" si="0"/>
        <v>0</v>
      </c>
      <c r="E58" s="46"/>
      <c r="F58" s="39">
        <f t="shared" si="1"/>
        <v>0</v>
      </c>
      <c r="G58" s="39">
        <v>0</v>
      </c>
      <c r="H58" s="35">
        <f t="shared" si="2"/>
        <v>0</v>
      </c>
      <c r="I58" s="35"/>
      <c r="J58" s="35"/>
      <c r="K58" s="27"/>
    </row>
    <row r="59" spans="1:29" ht="15.6" customHeight="1" x14ac:dyDescent="0.3">
      <c r="A59" s="134" t="s">
        <v>181</v>
      </c>
      <c r="B59" s="10"/>
      <c r="C59" s="45">
        <v>4.6000000000000001E-4</v>
      </c>
      <c r="D59" s="38">
        <f t="shared" si="0"/>
        <v>0</v>
      </c>
      <c r="E59" s="46">
        <v>4.6000000000000001E-4</v>
      </c>
      <c r="F59" s="39">
        <f t="shared" si="1"/>
        <v>0</v>
      </c>
      <c r="G59" s="39">
        <v>1</v>
      </c>
      <c r="H59" s="35">
        <f t="shared" si="2"/>
        <v>0</v>
      </c>
      <c r="I59" s="39"/>
      <c r="J59" s="39"/>
      <c r="K59" s="27"/>
    </row>
    <row r="60" spans="1:29" x14ac:dyDescent="0.3">
      <c r="A60" s="130" t="s">
        <v>182</v>
      </c>
      <c r="B60" s="10"/>
      <c r="C60" s="49">
        <v>7.2000000000000005E-4</v>
      </c>
      <c r="D60" s="41">
        <f t="shared" si="0"/>
        <v>0</v>
      </c>
      <c r="E60" s="35">
        <v>5.4999999999999997E-3</v>
      </c>
      <c r="F60" s="42">
        <f t="shared" si="1"/>
        <v>0</v>
      </c>
      <c r="G60" s="42">
        <v>1</v>
      </c>
      <c r="H60" s="35">
        <f t="shared" si="2"/>
        <v>0</v>
      </c>
      <c r="I60" s="35"/>
      <c r="J60" s="35"/>
      <c r="K60" s="21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x14ac:dyDescent="0.3">
      <c r="A61" s="130" t="s">
        <v>183</v>
      </c>
      <c r="B61" s="10"/>
      <c r="C61" s="49">
        <v>7.2000000000000005E-4</v>
      </c>
      <c r="D61" s="41">
        <f t="shared" si="0"/>
        <v>0</v>
      </c>
      <c r="E61" s="35">
        <v>5.4999999999999997E-3</v>
      </c>
      <c r="F61" s="42">
        <f t="shared" si="1"/>
        <v>0</v>
      </c>
      <c r="G61" s="42">
        <v>2</v>
      </c>
      <c r="H61" s="35">
        <f t="shared" si="2"/>
        <v>0</v>
      </c>
      <c r="I61" s="35"/>
      <c r="J61" s="35"/>
      <c r="K61" s="21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x14ac:dyDescent="0.3">
      <c r="A62" s="130" t="s">
        <v>184</v>
      </c>
      <c r="B62" s="10"/>
      <c r="C62" s="49">
        <v>7.2000000000000005E-4</v>
      </c>
      <c r="D62" s="41">
        <f t="shared" si="0"/>
        <v>0</v>
      </c>
      <c r="E62" s="35">
        <v>5.4999999999999997E-3</v>
      </c>
      <c r="F62" s="42">
        <f t="shared" si="1"/>
        <v>0</v>
      </c>
      <c r="G62" s="42">
        <v>3</v>
      </c>
      <c r="H62" s="35">
        <f t="shared" si="2"/>
        <v>0</v>
      </c>
      <c r="I62" s="35">
        <v>0.15</v>
      </c>
      <c r="J62" s="35">
        <f t="shared" ref="J62:J69" si="3">B62*I62</f>
        <v>0</v>
      </c>
      <c r="K62" s="21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 x14ac:dyDescent="0.3">
      <c r="A63" s="130" t="s">
        <v>185</v>
      </c>
      <c r="B63" s="10"/>
      <c r="C63" s="49">
        <v>8.5999999999999998E-4</v>
      </c>
      <c r="D63" s="41">
        <f t="shared" si="0"/>
        <v>0</v>
      </c>
      <c r="E63" s="35">
        <v>8.3000000000000001E-3</v>
      </c>
      <c r="F63" s="42">
        <f t="shared" si="1"/>
        <v>0</v>
      </c>
      <c r="G63" s="42">
        <v>6</v>
      </c>
      <c r="H63" s="35">
        <f t="shared" si="2"/>
        <v>0</v>
      </c>
      <c r="I63" s="35">
        <v>0.15</v>
      </c>
      <c r="J63" s="35">
        <f t="shared" si="3"/>
        <v>0</v>
      </c>
      <c r="K63" s="21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x14ac:dyDescent="0.3">
      <c r="A64" s="130" t="s">
        <v>187</v>
      </c>
      <c r="B64" s="10"/>
      <c r="C64" s="49">
        <v>6.3000000000000003E-4</v>
      </c>
      <c r="D64" s="41">
        <f t="shared" si="0"/>
        <v>0</v>
      </c>
      <c r="E64" s="35">
        <v>7.7999999999999996E-3</v>
      </c>
      <c r="F64" s="42">
        <f t="shared" si="1"/>
        <v>0</v>
      </c>
      <c r="G64" s="42">
        <v>3</v>
      </c>
      <c r="H64" s="35">
        <f t="shared" si="2"/>
        <v>0</v>
      </c>
      <c r="I64" s="35">
        <v>0.15</v>
      </c>
      <c r="J64" s="35">
        <f t="shared" si="3"/>
        <v>0</v>
      </c>
      <c r="K64" s="21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 x14ac:dyDescent="0.3">
      <c r="A65" s="130" t="s">
        <v>188</v>
      </c>
      <c r="B65" s="10"/>
      <c r="C65" s="49">
        <v>7.3999999999999999E-4</v>
      </c>
      <c r="D65" s="41">
        <f t="shared" si="0"/>
        <v>0</v>
      </c>
      <c r="E65" s="35">
        <v>3.0999999999999999E-3</v>
      </c>
      <c r="F65" s="42">
        <f t="shared" si="1"/>
        <v>0</v>
      </c>
      <c r="G65" s="42">
        <v>2</v>
      </c>
      <c r="H65" s="35">
        <f t="shared" si="2"/>
        <v>0</v>
      </c>
      <c r="I65" s="35">
        <v>0.15</v>
      </c>
      <c r="J65" s="35">
        <f t="shared" si="3"/>
        <v>0</v>
      </c>
      <c r="K65" s="21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x14ac:dyDescent="0.3">
      <c r="A66" s="130" t="s">
        <v>189</v>
      </c>
      <c r="B66" s="10"/>
      <c r="C66" s="49">
        <v>1.0500000000000001E-2</v>
      </c>
      <c r="D66" s="41">
        <f t="shared" si="0"/>
        <v>0</v>
      </c>
      <c r="E66" s="35">
        <v>1.0500000000000001E-2</v>
      </c>
      <c r="F66" s="42">
        <f t="shared" si="1"/>
        <v>0</v>
      </c>
      <c r="G66" s="42">
        <v>2</v>
      </c>
      <c r="H66" s="35">
        <f t="shared" si="2"/>
        <v>0</v>
      </c>
      <c r="I66" s="35">
        <v>0.15</v>
      </c>
      <c r="J66" s="35">
        <f t="shared" si="3"/>
        <v>0</v>
      </c>
      <c r="K66" s="21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x14ac:dyDescent="0.3">
      <c r="A67" s="130" t="s">
        <v>190</v>
      </c>
      <c r="B67" s="10"/>
      <c r="C67" s="49">
        <v>3.3500000000000001E-3</v>
      </c>
      <c r="D67" s="41">
        <f t="shared" si="0"/>
        <v>0</v>
      </c>
      <c r="E67" s="35">
        <v>3.3500000000000001E-3</v>
      </c>
      <c r="F67" s="42">
        <f t="shared" si="1"/>
        <v>0</v>
      </c>
      <c r="G67" s="42">
        <v>1</v>
      </c>
      <c r="H67" s="35">
        <f t="shared" si="2"/>
        <v>0</v>
      </c>
      <c r="I67" s="35">
        <v>0.15</v>
      </c>
      <c r="J67" s="35">
        <f t="shared" si="3"/>
        <v>0</v>
      </c>
      <c r="K67" s="21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:29" x14ac:dyDescent="0.3">
      <c r="A68" s="130" t="s">
        <v>217</v>
      </c>
      <c r="B68" s="10">
        <v>0</v>
      </c>
      <c r="C68" s="49">
        <v>0</v>
      </c>
      <c r="D68" s="41">
        <f t="shared" si="0"/>
        <v>0</v>
      </c>
      <c r="E68" s="35">
        <v>2.4500000000000001E-2</v>
      </c>
      <c r="F68" s="42">
        <f>IF(B68=0,(B66+B67)*E68,B68*E68)</f>
        <v>0</v>
      </c>
      <c r="G68" s="42">
        <v>0</v>
      </c>
      <c r="H68" s="35">
        <f t="shared" si="2"/>
        <v>0</v>
      </c>
      <c r="I68" s="35"/>
      <c r="J68" s="35"/>
      <c r="K68" s="21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x14ac:dyDescent="0.3">
      <c r="A69" s="130" t="s">
        <v>191</v>
      </c>
      <c r="B69" s="10"/>
      <c r="C69" s="49">
        <v>6.8999999999999997E-4</v>
      </c>
      <c r="D69" s="41">
        <f t="shared" si="0"/>
        <v>0</v>
      </c>
      <c r="E69" s="35">
        <v>3.3E-3</v>
      </c>
      <c r="F69" s="42">
        <f t="shared" si="1"/>
        <v>0</v>
      </c>
      <c r="G69" s="42">
        <v>1</v>
      </c>
      <c r="H69" s="35">
        <f t="shared" si="2"/>
        <v>0</v>
      </c>
      <c r="I69" s="35">
        <v>0.15</v>
      </c>
      <c r="J69" s="35">
        <f t="shared" si="3"/>
        <v>0</v>
      </c>
      <c r="K69" s="21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ht="15.6" customHeight="1" x14ac:dyDescent="0.3">
      <c r="A70" s="154" t="s">
        <v>137</v>
      </c>
      <c r="B70" s="10"/>
      <c r="C70" s="45"/>
      <c r="D70" s="38"/>
      <c r="E70" s="46"/>
      <c r="F70" s="39"/>
      <c r="G70" s="39"/>
      <c r="H70" s="35"/>
      <c r="I70" s="35"/>
      <c r="J70" s="35"/>
      <c r="K70" s="2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ht="15.6" customHeight="1" x14ac:dyDescent="0.3">
      <c r="A71" s="128" t="s">
        <v>192</v>
      </c>
      <c r="B71" s="10"/>
      <c r="C71" s="45">
        <v>4.6000000000000001E-4</v>
      </c>
      <c r="D71" s="38">
        <f t="shared" ref="D71:D75" si="4">B71*C71</f>
        <v>0</v>
      </c>
      <c r="E71" s="46">
        <v>4.6000000000000001E-4</v>
      </c>
      <c r="F71" s="39">
        <f t="shared" ref="F71:F75" si="5">B71*E71</f>
        <v>0</v>
      </c>
      <c r="G71" s="39">
        <v>1</v>
      </c>
      <c r="H71" s="35">
        <f>B71*G71</f>
        <v>0</v>
      </c>
      <c r="I71" s="35"/>
      <c r="J71" s="35"/>
      <c r="K71" s="26"/>
    </row>
    <row r="72" spans="1:29" ht="15.6" customHeight="1" x14ac:dyDescent="0.3">
      <c r="A72" s="128" t="s">
        <v>193</v>
      </c>
      <c r="B72" s="10"/>
      <c r="C72" s="45">
        <v>9.2000000000000003E-4</v>
      </c>
      <c r="D72" s="38">
        <f t="shared" si="4"/>
        <v>0</v>
      </c>
      <c r="E72" s="46">
        <v>9.2000000000000003E-4</v>
      </c>
      <c r="F72" s="39">
        <f t="shared" si="5"/>
        <v>0</v>
      </c>
      <c r="G72" s="39">
        <v>2</v>
      </c>
      <c r="H72" s="35">
        <f>B72*G72</f>
        <v>0</v>
      </c>
      <c r="I72" s="35"/>
      <c r="J72" s="35"/>
      <c r="K72" s="26"/>
    </row>
    <row r="73" spans="1:29" ht="15.6" customHeight="1" x14ac:dyDescent="0.3">
      <c r="A73" s="128" t="s">
        <v>194</v>
      </c>
      <c r="B73" s="10"/>
      <c r="C73" s="45">
        <v>4.0000000000000001E-3</v>
      </c>
      <c r="D73" s="38">
        <f t="shared" si="4"/>
        <v>0</v>
      </c>
      <c r="E73" s="46">
        <v>4.0000000000000001E-3</v>
      </c>
      <c r="F73" s="39">
        <f t="shared" si="5"/>
        <v>0</v>
      </c>
      <c r="G73" s="39">
        <v>1</v>
      </c>
      <c r="H73" s="35">
        <f>B73*G73</f>
        <v>0</v>
      </c>
      <c r="I73" s="35"/>
      <c r="J73" s="35"/>
      <c r="K73" s="26"/>
    </row>
    <row r="74" spans="1:29" ht="15.6" customHeight="1" x14ac:dyDescent="0.3">
      <c r="A74" s="128" t="s">
        <v>218</v>
      </c>
      <c r="B74" s="10"/>
      <c r="C74" s="45">
        <v>4.1999999999999997E-3</v>
      </c>
      <c r="D74" s="38">
        <f t="shared" si="4"/>
        <v>0</v>
      </c>
      <c r="E74" s="46">
        <v>4.1999999999999997E-3</v>
      </c>
      <c r="F74" s="39">
        <f t="shared" si="5"/>
        <v>0</v>
      </c>
      <c r="G74" s="39">
        <v>1</v>
      </c>
      <c r="H74" s="35">
        <f>B74*G74</f>
        <v>0</v>
      </c>
      <c r="I74" s="35">
        <v>0.15</v>
      </c>
      <c r="J74" s="35">
        <f t="shared" ref="J74" si="6">B74*I74</f>
        <v>0</v>
      </c>
      <c r="K74" s="26"/>
    </row>
    <row r="75" spans="1:29" ht="15.6" customHeight="1" x14ac:dyDescent="0.3">
      <c r="A75" s="128" t="s">
        <v>195</v>
      </c>
      <c r="B75" s="10"/>
      <c r="C75" s="45">
        <v>0</v>
      </c>
      <c r="D75" s="38">
        <f t="shared" si="4"/>
        <v>0</v>
      </c>
      <c r="E75" s="46">
        <v>2E-3</v>
      </c>
      <c r="F75" s="39">
        <f t="shared" si="5"/>
        <v>0</v>
      </c>
      <c r="G75" s="39">
        <v>0</v>
      </c>
      <c r="H75" s="35">
        <f>B75*G75</f>
        <v>0</v>
      </c>
      <c r="I75" s="35"/>
      <c r="J75" s="35"/>
      <c r="K75" s="26"/>
    </row>
    <row r="76" spans="1:29" ht="15.6" customHeight="1" x14ac:dyDescent="0.3">
      <c r="A76" s="128"/>
      <c r="B76" s="10"/>
      <c r="C76" s="45"/>
      <c r="D76" s="46"/>
      <c r="E76" s="46"/>
      <c r="F76" s="46"/>
      <c r="G76" s="46"/>
      <c r="H76" s="46"/>
      <c r="I76" s="46"/>
      <c r="J76" s="46"/>
      <c r="K76" s="26"/>
    </row>
    <row r="77" spans="1:29" ht="15.6" customHeight="1" x14ac:dyDescent="0.3">
      <c r="A77" s="128" t="s">
        <v>7</v>
      </c>
      <c r="B77" s="10">
        <f>SUM(B7:B18,B27:B33,B34:B42,B44:B47,B52:B67,B69:B74)</f>
        <v>0</v>
      </c>
      <c r="C77" s="126" t="s">
        <v>8</v>
      </c>
      <c r="D77" s="46">
        <f>SUM(D7:D76)</f>
        <v>0</v>
      </c>
      <c r="E77" s="127" t="s">
        <v>9</v>
      </c>
      <c r="F77" s="46">
        <f>SUM(F5:F76)</f>
        <v>2.5000000000000001E-2</v>
      </c>
      <c r="G77" s="127" t="s">
        <v>38</v>
      </c>
      <c r="H77" s="46">
        <f>SUM(H7:H75)</f>
        <v>0</v>
      </c>
      <c r="I77" s="127" t="s">
        <v>186</v>
      </c>
      <c r="J77" s="46">
        <f>SUM(J7:J76)</f>
        <v>0</v>
      </c>
      <c r="K77" s="28"/>
    </row>
    <row r="78" spans="1:29" ht="16.2" thickBot="1" x14ac:dyDescent="0.35">
      <c r="A78" s="30" t="s">
        <v>197</v>
      </c>
      <c r="B78" s="15"/>
      <c r="C78" s="15" t="s">
        <v>208</v>
      </c>
      <c r="D78" s="15"/>
      <c r="E78" s="15"/>
      <c r="F78" s="15"/>
      <c r="G78" s="15"/>
      <c r="H78" s="15"/>
      <c r="I78" s="15"/>
      <c r="J78" s="15"/>
      <c r="K78" s="30"/>
    </row>
    <row r="79" spans="1:29" ht="16.8" thickTop="1" thickBot="1" x14ac:dyDescent="0.35">
      <c r="A79" s="156" t="s">
        <v>201</v>
      </c>
      <c r="C79" s="19">
        <f>VLOOKUP(A79,Sheet2!A:B,2,FALSE)</f>
        <v>3</v>
      </c>
      <c r="D79" s="16"/>
      <c r="E79" s="16"/>
      <c r="F79" s="53" t="str">
        <f>IF(F77&lt;0.4,"Load ok","above 80% load")</f>
        <v>Load ok</v>
      </c>
      <c r="G79" s="16"/>
      <c r="H79" s="16"/>
      <c r="I79" s="16"/>
      <c r="J79" s="16"/>
    </row>
    <row r="80" spans="1:29" ht="16.2" thickBot="1" x14ac:dyDescent="0.35">
      <c r="A80" s="19" t="s">
        <v>18</v>
      </c>
      <c r="C80" s="16" t="s">
        <v>39</v>
      </c>
      <c r="D80" s="16"/>
      <c r="E80" s="16"/>
      <c r="F80" s="16"/>
      <c r="G80" s="16"/>
      <c r="H80" s="16"/>
      <c r="I80" s="16"/>
      <c r="J80" s="16"/>
    </row>
    <row r="81" spans="1:3" ht="16.2" thickBot="1" x14ac:dyDescent="0.35">
      <c r="A81" s="17" t="s">
        <v>20</v>
      </c>
      <c r="C81" s="19">
        <f>VLOOKUP(A81,Sheet2!A:B,2,FALSE)</f>
        <v>12.5</v>
      </c>
    </row>
    <row r="82" spans="1:3" ht="16.2" thickBot="1" x14ac:dyDescent="0.35">
      <c r="A82" s="19" t="s">
        <v>120</v>
      </c>
    </row>
    <row r="83" spans="1:3" ht="16.2" thickBot="1" x14ac:dyDescent="0.35">
      <c r="A83" s="17">
        <v>2000</v>
      </c>
    </row>
    <row r="84" spans="1:3" ht="16.2" thickBot="1" x14ac:dyDescent="0.35">
      <c r="A84" s="19" t="s">
        <v>40</v>
      </c>
    </row>
    <row r="85" spans="1:3" ht="16.8" thickTop="1" thickBot="1" x14ac:dyDescent="0.35">
      <c r="A85" s="51">
        <f>PRODUCT(((A83*((C81/1000)*2))+J77)*F77)</f>
        <v>1.25</v>
      </c>
      <c r="C85" s="53" t="str">
        <f>IF(A85&lt;8,"Loop ok","Loop not ok")</f>
        <v>Loop ok</v>
      </c>
    </row>
    <row r="86" spans="1:3" ht="16.2" thickBot="1" x14ac:dyDescent="0.35">
      <c r="A86" s="52" t="s">
        <v>119</v>
      </c>
    </row>
    <row r="87" spans="1:3" ht="16.2" thickBot="1" x14ac:dyDescent="0.35">
      <c r="A87" s="54">
        <f>MIN(2000,(PRODUCT((6/F77)/((C81/1000)*2))))</f>
        <v>2000</v>
      </c>
    </row>
  </sheetData>
  <sheetProtection algorithmName="SHA-512" hashValue="gyPwMo0LaybFQq68GiNmM741yUU2YJBWq+/z7q9tPEu/JpGSK6jMDSN3T+t8bwjML0mrrD58NyyyNSMf+NGpNQ==" saltValue="TeuTjJpYYAgTErS4X+tGoQ==" spinCount="100000" sheet="1" selectLockedCells="1"/>
  <mergeCells count="2">
    <mergeCell ref="I2:I4"/>
    <mergeCell ref="J2:J4"/>
  </mergeCells>
  <phoneticPr fontId="21" type="noConversion"/>
  <conditionalFormatting sqref="A85">
    <cfRule type="cellIs" dxfId="27" priority="10" stopIfTrue="1" operator="lessThan">
      <formula>8</formula>
    </cfRule>
    <cfRule type="cellIs" dxfId="26" priority="11" stopIfTrue="1" operator="greaterThan">
      <formula>8</formula>
    </cfRule>
  </conditionalFormatting>
  <conditionalFormatting sqref="C85">
    <cfRule type="cellIs" dxfId="25" priority="1" operator="equal">
      <formula>"Loop not ok"</formula>
    </cfRule>
    <cfRule type="cellIs" dxfId="24" priority="12" stopIfTrue="1" operator="equal">
      <formula>"Loop Ok"</formula>
    </cfRule>
  </conditionalFormatting>
  <conditionalFormatting sqref="F77">
    <cfRule type="cellIs" dxfId="23" priority="2" operator="lessThan">
      <formula>0.4</formula>
    </cfRule>
    <cfRule type="cellIs" dxfId="22" priority="3" operator="greaterThan">
      <formula>0.4</formula>
    </cfRule>
    <cfRule type="cellIs" dxfId="21" priority="9" operator="greaterThan">
      <formula>0.4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portrait" r:id="rId1"/>
  <ignoredErrors>
    <ignoredError sqref="F6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Sheet2!$A$6:$A$22</xm:f>
          </x14:formula1>
          <xm:sqref>A81</xm:sqref>
        </x14:dataValidation>
        <x14:dataValidation type="list" allowBlank="1" showInputMessage="1" showErrorMessage="1" xr:uid="{5A7A033D-1361-42BA-9E9A-B371A30AE0EE}">
          <x14:formula1>
            <xm:f>Sheet2!$A$25:$A$33</xm:f>
          </x14:formula1>
          <xm:sqref>A79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7B22-EBF9-432E-8A7E-D6052FA5030F}">
  <sheetPr>
    <pageSetUpPr fitToPage="1"/>
  </sheetPr>
  <dimension ref="A1:AC87"/>
  <sheetViews>
    <sheetView zoomScale="81" zoomScaleNormal="81" workbookViewId="0">
      <selection activeCell="B6" sqref="B6"/>
    </sheetView>
  </sheetViews>
  <sheetFormatPr defaultColWidth="8.88671875" defaultRowHeight="15.6" x14ac:dyDescent="0.3"/>
  <cols>
    <col min="1" max="1" width="79" style="19" customWidth="1"/>
    <col min="2" max="2" width="5.33203125" style="16" customWidth="1"/>
    <col min="3" max="3" width="12.44140625" style="19" customWidth="1"/>
    <col min="4" max="4" width="18.44140625" style="19" customWidth="1"/>
    <col min="5" max="6" width="19.6640625" style="19" customWidth="1"/>
    <col min="7" max="10" width="13.5546875" style="19" customWidth="1"/>
    <col min="11" max="11" width="16.6640625" style="19" customWidth="1"/>
    <col min="12" max="16384" width="8.88671875" style="20"/>
  </cols>
  <sheetData>
    <row r="1" spans="1:13" ht="30" customHeight="1" thickBot="1" x14ac:dyDescent="0.35">
      <c r="A1" s="18" t="s">
        <v>6</v>
      </c>
      <c r="B1" s="55"/>
    </row>
    <row r="2" spans="1:13" ht="15.75" customHeight="1" thickBot="1" x14ac:dyDescent="0.35">
      <c r="A2" s="157"/>
      <c r="B2" s="146"/>
      <c r="C2" s="147"/>
      <c r="D2" s="147"/>
      <c r="E2" s="147"/>
      <c r="F2" s="147"/>
      <c r="G2" s="147" t="s">
        <v>36</v>
      </c>
      <c r="H2" s="147"/>
      <c r="I2" s="179" t="s">
        <v>131</v>
      </c>
      <c r="J2" s="179" t="s">
        <v>132</v>
      </c>
      <c r="K2" s="148"/>
    </row>
    <row r="3" spans="1:13" ht="15.6" customHeight="1" x14ac:dyDescent="0.3">
      <c r="A3" s="145" t="s">
        <v>211</v>
      </c>
      <c r="B3" s="149" t="s">
        <v>0</v>
      </c>
      <c r="C3" s="150" t="s">
        <v>2</v>
      </c>
      <c r="D3" s="150" t="s">
        <v>1</v>
      </c>
      <c r="E3" s="150" t="s">
        <v>3</v>
      </c>
      <c r="F3" s="150" t="s">
        <v>4</v>
      </c>
      <c r="G3" s="150" t="s">
        <v>37</v>
      </c>
      <c r="H3" s="150" t="s">
        <v>38</v>
      </c>
      <c r="I3" s="180"/>
      <c r="J3" s="180"/>
      <c r="K3" s="151" t="s">
        <v>5</v>
      </c>
    </row>
    <row r="4" spans="1:13" ht="15.6" customHeight="1" thickBot="1" x14ac:dyDescent="0.35">
      <c r="A4" s="158" t="s">
        <v>209</v>
      </c>
      <c r="B4" s="149"/>
      <c r="C4" s="150"/>
      <c r="D4" s="150"/>
      <c r="E4" s="150"/>
      <c r="F4" s="152"/>
      <c r="G4" s="152"/>
      <c r="H4" s="152"/>
      <c r="I4" s="181"/>
      <c r="J4" s="181"/>
      <c r="K4" s="151"/>
    </row>
    <row r="5" spans="1:13" ht="15.6" customHeight="1" thickBot="1" x14ac:dyDescent="0.35">
      <c r="A5" s="160" t="s">
        <v>210</v>
      </c>
      <c r="B5" s="153">
        <v>5</v>
      </c>
      <c r="C5" s="31">
        <v>0</v>
      </c>
      <c r="D5" s="32">
        <f>B5*C5</f>
        <v>0</v>
      </c>
      <c r="E5" s="33">
        <v>5.0000000000000001E-3</v>
      </c>
      <c r="F5" s="34">
        <f>B5*E5</f>
        <v>2.5000000000000001E-2</v>
      </c>
      <c r="G5" s="35">
        <v>0</v>
      </c>
      <c r="H5" s="36"/>
      <c r="I5" s="36"/>
      <c r="J5" s="36"/>
      <c r="K5" s="22"/>
    </row>
    <row r="6" spans="1:13" ht="15.6" customHeight="1" x14ac:dyDescent="0.3">
      <c r="A6" s="159" t="s">
        <v>133</v>
      </c>
      <c r="B6" s="140"/>
      <c r="C6" s="141"/>
      <c r="D6" s="142"/>
      <c r="E6" s="143"/>
      <c r="F6" s="34"/>
      <c r="G6" s="35"/>
      <c r="H6" s="36"/>
      <c r="I6" s="36"/>
      <c r="J6" s="36"/>
      <c r="K6" s="144"/>
    </row>
    <row r="7" spans="1:13" ht="15.6" customHeight="1" x14ac:dyDescent="0.3">
      <c r="A7" s="128" t="s">
        <v>138</v>
      </c>
      <c r="B7" s="10"/>
      <c r="C7" s="37">
        <v>1.7000000000000001E-4</v>
      </c>
      <c r="D7" s="38">
        <f>B7*C7</f>
        <v>0</v>
      </c>
      <c r="E7" s="37">
        <v>1.7000000000000001E-4</v>
      </c>
      <c r="F7" s="39">
        <f>B7*E7</f>
        <v>0</v>
      </c>
      <c r="G7" s="35">
        <v>1</v>
      </c>
      <c r="H7" s="35">
        <f>B7*G7</f>
        <v>0</v>
      </c>
      <c r="I7" s="35"/>
      <c r="J7" s="35"/>
      <c r="K7" s="23"/>
    </row>
    <row r="8" spans="1:13" ht="15.6" customHeight="1" x14ac:dyDescent="0.3">
      <c r="A8" s="128" t="s">
        <v>139</v>
      </c>
      <c r="B8" s="10"/>
      <c r="C8" s="37">
        <v>2.2000000000000001E-4</v>
      </c>
      <c r="D8" s="38">
        <f t="shared" ref="D8:D69" si="0">B8*C8</f>
        <v>0</v>
      </c>
      <c r="E8" s="37">
        <v>2.2000000000000001E-4</v>
      </c>
      <c r="F8" s="39">
        <f>B8*E8</f>
        <v>0</v>
      </c>
      <c r="G8" s="35">
        <v>1</v>
      </c>
      <c r="H8" s="35">
        <f>B8*G8</f>
        <v>0</v>
      </c>
      <c r="I8" s="35">
        <v>0.05</v>
      </c>
      <c r="J8" s="35">
        <f>B8*I8</f>
        <v>0</v>
      </c>
      <c r="K8" s="23"/>
    </row>
    <row r="9" spans="1:13" ht="15.6" customHeight="1" x14ac:dyDescent="0.3">
      <c r="A9" s="128" t="s">
        <v>140</v>
      </c>
      <c r="B9" s="10"/>
      <c r="C9" s="37">
        <v>1.7000000000000001E-4</v>
      </c>
      <c r="D9" s="38">
        <f t="shared" si="0"/>
        <v>0</v>
      </c>
      <c r="E9" s="37">
        <v>1.7000000000000001E-4</v>
      </c>
      <c r="F9" s="39">
        <f t="shared" ref="F9:F69" si="1">B9*E9</f>
        <v>0</v>
      </c>
      <c r="G9" s="35">
        <v>1</v>
      </c>
      <c r="H9" s="35">
        <f t="shared" ref="H9:H69" si="2">B9*G9</f>
        <v>0</v>
      </c>
      <c r="I9" s="35"/>
      <c r="J9" s="35"/>
      <c r="K9" s="23"/>
    </row>
    <row r="10" spans="1:13" ht="15.6" customHeight="1" x14ac:dyDescent="0.3">
      <c r="A10" s="128" t="s">
        <v>145</v>
      </c>
      <c r="B10" s="10"/>
      <c r="C10" s="37">
        <v>1.7000000000000001E-4</v>
      </c>
      <c r="D10" s="38">
        <f t="shared" si="0"/>
        <v>0</v>
      </c>
      <c r="E10" s="37">
        <v>1.7000000000000001E-4</v>
      </c>
      <c r="F10" s="39">
        <f t="shared" si="1"/>
        <v>0</v>
      </c>
      <c r="G10" s="35">
        <v>1</v>
      </c>
      <c r="H10" s="35">
        <f t="shared" si="2"/>
        <v>0</v>
      </c>
      <c r="I10" s="35"/>
      <c r="J10" s="35"/>
      <c r="K10" s="23"/>
    </row>
    <row r="11" spans="1:13" ht="15.6" customHeight="1" x14ac:dyDescent="0.3">
      <c r="A11" s="128" t="s">
        <v>146</v>
      </c>
      <c r="B11" s="10"/>
      <c r="C11" s="37">
        <v>1.7000000000000001E-4</v>
      </c>
      <c r="D11" s="38">
        <f t="shared" si="0"/>
        <v>0</v>
      </c>
      <c r="E11" s="37">
        <v>1.7000000000000001E-4</v>
      </c>
      <c r="F11" s="39">
        <f t="shared" si="1"/>
        <v>0</v>
      </c>
      <c r="G11" s="35">
        <v>1</v>
      </c>
      <c r="H11" s="35">
        <f t="shared" si="2"/>
        <v>0</v>
      </c>
      <c r="I11" s="35"/>
      <c r="J11" s="35"/>
      <c r="K11" s="23"/>
      <c r="M11" s="125"/>
    </row>
    <row r="12" spans="1:13" ht="15.6" customHeight="1" x14ac:dyDescent="0.3">
      <c r="A12" s="128" t="s">
        <v>141</v>
      </c>
      <c r="B12" s="10"/>
      <c r="C12" s="37">
        <v>2.2000000000000001E-4</v>
      </c>
      <c r="D12" s="38">
        <f t="shared" si="0"/>
        <v>0</v>
      </c>
      <c r="E12" s="37">
        <v>2.2000000000000001E-4</v>
      </c>
      <c r="F12" s="39">
        <f>B12*E12</f>
        <v>0</v>
      </c>
      <c r="G12" s="35">
        <v>1</v>
      </c>
      <c r="H12" s="35">
        <f t="shared" si="2"/>
        <v>0</v>
      </c>
      <c r="I12" s="35">
        <v>0.05</v>
      </c>
      <c r="J12" s="35">
        <f>B12*I12</f>
        <v>0</v>
      </c>
      <c r="K12" s="23"/>
      <c r="M12" s="125"/>
    </row>
    <row r="13" spans="1:13" ht="15.6" customHeight="1" x14ac:dyDescent="0.3">
      <c r="A13" s="128" t="s">
        <v>142</v>
      </c>
      <c r="B13" s="10"/>
      <c r="C13" s="37">
        <v>1.7000000000000001E-4</v>
      </c>
      <c r="D13" s="38">
        <f t="shared" si="0"/>
        <v>0</v>
      </c>
      <c r="E13" s="37">
        <v>1.7000000000000001E-4</v>
      </c>
      <c r="F13" s="39">
        <f t="shared" si="1"/>
        <v>0</v>
      </c>
      <c r="G13" s="35">
        <v>2</v>
      </c>
      <c r="H13" s="35">
        <f t="shared" si="2"/>
        <v>0</v>
      </c>
      <c r="I13" s="35"/>
      <c r="J13" s="35"/>
      <c r="K13" s="23"/>
    </row>
    <row r="14" spans="1:13" ht="15.6" customHeight="1" x14ac:dyDescent="0.3">
      <c r="A14" s="128" t="s">
        <v>143</v>
      </c>
      <c r="B14" s="10"/>
      <c r="C14" s="37">
        <v>2.2000000000000001E-4</v>
      </c>
      <c r="D14" s="38">
        <f t="shared" si="0"/>
        <v>0</v>
      </c>
      <c r="E14" s="37">
        <v>2.2000000000000001E-4</v>
      </c>
      <c r="F14" s="39">
        <f>B14*E14</f>
        <v>0</v>
      </c>
      <c r="G14" s="35">
        <v>2</v>
      </c>
      <c r="H14" s="35">
        <f t="shared" si="2"/>
        <v>0</v>
      </c>
      <c r="I14" s="35">
        <v>0.05</v>
      </c>
      <c r="J14" s="35">
        <f>B14*I14</f>
        <v>0</v>
      </c>
      <c r="K14" s="23"/>
    </row>
    <row r="15" spans="1:13" ht="15.6" customHeight="1" x14ac:dyDescent="0.3">
      <c r="A15" s="129" t="s">
        <v>144</v>
      </c>
      <c r="B15" s="10"/>
      <c r="C15" s="37">
        <v>1.7000000000000001E-4</v>
      </c>
      <c r="D15" s="38">
        <f t="shared" si="0"/>
        <v>0</v>
      </c>
      <c r="E15" s="37">
        <v>1.7000000000000001E-4</v>
      </c>
      <c r="F15" s="39">
        <f t="shared" si="1"/>
        <v>0</v>
      </c>
      <c r="G15" s="35">
        <v>2</v>
      </c>
      <c r="H15" s="35">
        <f t="shared" si="2"/>
        <v>0</v>
      </c>
      <c r="I15" s="35"/>
      <c r="J15" s="35"/>
      <c r="K15" s="23"/>
    </row>
    <row r="16" spans="1:13" ht="15.6" customHeight="1" x14ac:dyDescent="0.3">
      <c r="A16" s="129" t="s">
        <v>147</v>
      </c>
      <c r="B16" s="10"/>
      <c r="C16" s="37">
        <v>1.7000000000000001E-4</v>
      </c>
      <c r="D16" s="38">
        <f t="shared" si="0"/>
        <v>0</v>
      </c>
      <c r="E16" s="37">
        <v>1.7000000000000001E-4</v>
      </c>
      <c r="F16" s="39">
        <f t="shared" si="1"/>
        <v>0</v>
      </c>
      <c r="G16" s="35">
        <v>2</v>
      </c>
      <c r="H16" s="35">
        <f t="shared" si="2"/>
        <v>0</v>
      </c>
      <c r="I16" s="35"/>
      <c r="J16" s="35"/>
      <c r="K16" s="23"/>
    </row>
    <row r="17" spans="1:29" ht="15.6" customHeight="1" x14ac:dyDescent="0.3">
      <c r="A17" s="128" t="s">
        <v>148</v>
      </c>
      <c r="B17" s="10"/>
      <c r="C17" s="37">
        <v>1.7000000000000001E-4</v>
      </c>
      <c r="D17" s="38">
        <f t="shared" si="0"/>
        <v>0</v>
      </c>
      <c r="E17" s="37">
        <v>3.5000000000000001E-3</v>
      </c>
      <c r="F17" s="39">
        <f t="shared" si="1"/>
        <v>0</v>
      </c>
      <c r="G17" s="35">
        <v>2</v>
      </c>
      <c r="H17" s="35">
        <f t="shared" si="2"/>
        <v>0</v>
      </c>
      <c r="I17" s="35"/>
      <c r="J17" s="35"/>
      <c r="K17" s="23"/>
    </row>
    <row r="18" spans="1:29" x14ac:dyDescent="0.3">
      <c r="A18" s="130" t="s">
        <v>149</v>
      </c>
      <c r="B18" s="11"/>
      <c r="C18" s="40">
        <v>1.7000000000000001E-4</v>
      </c>
      <c r="D18" s="41">
        <f t="shared" si="0"/>
        <v>0</v>
      </c>
      <c r="E18" s="40">
        <v>3.5000000000000001E-3</v>
      </c>
      <c r="F18" s="42">
        <f t="shared" si="1"/>
        <v>0</v>
      </c>
      <c r="G18" s="42">
        <v>2</v>
      </c>
      <c r="H18" s="35">
        <f t="shared" si="2"/>
        <v>0</v>
      </c>
      <c r="I18" s="35"/>
      <c r="J18" s="35"/>
      <c r="K18" s="21"/>
    </row>
    <row r="19" spans="1:29" ht="15.6" customHeight="1" x14ac:dyDescent="0.3">
      <c r="A19" s="154" t="s">
        <v>150</v>
      </c>
      <c r="B19" s="10"/>
      <c r="C19" s="43"/>
      <c r="D19" s="38"/>
      <c r="E19" s="44"/>
      <c r="F19" s="39"/>
      <c r="G19" s="39"/>
      <c r="H19" s="35"/>
      <c r="I19" s="35"/>
      <c r="J19" s="35"/>
      <c r="K19" s="25"/>
    </row>
    <row r="20" spans="1:29" ht="15.6" customHeight="1" x14ac:dyDescent="0.3">
      <c r="A20" s="131" t="s">
        <v>151</v>
      </c>
      <c r="B20" s="12"/>
      <c r="C20" s="37">
        <v>0</v>
      </c>
      <c r="D20" s="38">
        <f t="shared" si="0"/>
        <v>0</v>
      </c>
      <c r="E20" s="38">
        <v>0</v>
      </c>
      <c r="F20" s="39">
        <f t="shared" si="1"/>
        <v>0</v>
      </c>
      <c r="G20" s="39">
        <v>0</v>
      </c>
      <c r="H20" s="35">
        <f t="shared" si="2"/>
        <v>0</v>
      </c>
      <c r="I20" s="35"/>
      <c r="J20" s="35"/>
      <c r="K20" s="25"/>
    </row>
    <row r="21" spans="1:29" ht="15.6" customHeight="1" x14ac:dyDescent="0.3">
      <c r="A21" s="131" t="s">
        <v>213</v>
      </c>
      <c r="B21" s="12"/>
      <c r="C21" s="37">
        <v>0</v>
      </c>
      <c r="D21" s="38">
        <f t="shared" si="0"/>
        <v>0</v>
      </c>
      <c r="E21" s="38">
        <v>0</v>
      </c>
      <c r="F21" s="39">
        <f t="shared" si="1"/>
        <v>0</v>
      </c>
      <c r="G21" s="39">
        <v>0</v>
      </c>
      <c r="H21" s="35">
        <f t="shared" si="2"/>
        <v>0</v>
      </c>
      <c r="I21" s="35"/>
      <c r="J21" s="35"/>
      <c r="K21" s="25"/>
    </row>
    <row r="22" spans="1:29" ht="15.6" customHeight="1" x14ac:dyDescent="0.3">
      <c r="A22" s="131" t="s">
        <v>214</v>
      </c>
      <c r="B22" s="12"/>
      <c r="C22" s="45">
        <v>0</v>
      </c>
      <c r="D22" s="38">
        <f t="shared" si="0"/>
        <v>0</v>
      </c>
      <c r="E22" s="46">
        <v>0</v>
      </c>
      <c r="F22" s="39">
        <f t="shared" si="1"/>
        <v>0</v>
      </c>
      <c r="G22" s="39">
        <v>0</v>
      </c>
      <c r="H22" s="35">
        <f t="shared" si="2"/>
        <v>0</v>
      </c>
      <c r="I22" s="35"/>
      <c r="J22" s="35"/>
      <c r="K22" s="26"/>
    </row>
    <row r="23" spans="1:29" ht="15.6" customHeight="1" x14ac:dyDescent="0.3">
      <c r="A23" s="132" t="s">
        <v>215</v>
      </c>
      <c r="B23" s="12"/>
      <c r="C23" s="48">
        <v>6.0000000000000002E-5</v>
      </c>
      <c r="D23" s="38">
        <f t="shared" si="0"/>
        <v>0</v>
      </c>
      <c r="E23" s="47">
        <v>6.0000000000000002E-5</v>
      </c>
      <c r="F23" s="39">
        <f t="shared" si="1"/>
        <v>0</v>
      </c>
      <c r="G23" s="39">
        <v>0</v>
      </c>
      <c r="H23" s="35">
        <f t="shared" si="2"/>
        <v>0</v>
      </c>
      <c r="I23" s="35">
        <v>0.12</v>
      </c>
      <c r="J23" s="35">
        <f>B23*I23</f>
        <v>0</v>
      </c>
      <c r="K23" s="24"/>
    </row>
    <row r="24" spans="1:29" ht="15.6" customHeight="1" x14ac:dyDescent="0.3">
      <c r="A24" s="132" t="s">
        <v>216</v>
      </c>
      <c r="B24" s="12"/>
      <c r="C24" s="48">
        <v>6.0000000000000002E-5</v>
      </c>
      <c r="D24" s="38">
        <f t="shared" si="0"/>
        <v>0</v>
      </c>
      <c r="E24" s="47">
        <v>6.0000000000000002E-5</v>
      </c>
      <c r="F24" s="39">
        <f t="shared" si="1"/>
        <v>0</v>
      </c>
      <c r="G24" s="39">
        <v>0</v>
      </c>
      <c r="H24" s="35">
        <f t="shared" si="2"/>
        <v>0</v>
      </c>
      <c r="I24" s="35">
        <v>0.12</v>
      </c>
      <c r="J24" s="35">
        <f>B24*I24</f>
        <v>0</v>
      </c>
      <c r="K24" s="24"/>
    </row>
    <row r="25" spans="1:29" ht="15.6" customHeight="1" x14ac:dyDescent="0.3">
      <c r="A25" s="132" t="s">
        <v>152</v>
      </c>
      <c r="B25" s="12"/>
      <c r="C25" s="48">
        <v>6.0000000000000002E-5</v>
      </c>
      <c r="D25" s="38">
        <f t="shared" si="0"/>
        <v>0</v>
      </c>
      <c r="E25" s="47">
        <v>6.0000000000000002E-5</v>
      </c>
      <c r="F25" s="39">
        <f t="shared" si="1"/>
        <v>0</v>
      </c>
      <c r="G25" s="39">
        <v>0</v>
      </c>
      <c r="H25" s="35">
        <f t="shared" si="2"/>
        <v>0</v>
      </c>
      <c r="I25" s="35">
        <v>0.12</v>
      </c>
      <c r="J25" s="35">
        <f>B25*I25</f>
        <v>0</v>
      </c>
      <c r="K25" s="24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15.6" customHeight="1" x14ac:dyDescent="0.3">
      <c r="A26" s="155" t="s">
        <v>134</v>
      </c>
      <c r="B26" s="12"/>
      <c r="C26" s="48"/>
      <c r="D26" s="38"/>
      <c r="E26" s="47"/>
      <c r="F26" s="39"/>
      <c r="G26" s="39"/>
      <c r="H26" s="35"/>
      <c r="I26" s="35"/>
      <c r="J26" s="35"/>
      <c r="K26" s="24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ht="15.6" customHeight="1" x14ac:dyDescent="0.3">
      <c r="A27" s="128" t="s">
        <v>153</v>
      </c>
      <c r="B27" s="10"/>
      <c r="C27" s="37">
        <v>2.0000000000000001E-4</v>
      </c>
      <c r="D27" s="38">
        <f t="shared" si="0"/>
        <v>0</v>
      </c>
      <c r="E27" s="38">
        <v>2.0000000000000001E-4</v>
      </c>
      <c r="F27" s="39">
        <f t="shared" si="1"/>
        <v>0</v>
      </c>
      <c r="G27" s="39">
        <v>1</v>
      </c>
      <c r="H27" s="35">
        <f t="shared" si="2"/>
        <v>0</v>
      </c>
      <c r="I27" s="35"/>
      <c r="J27" s="35"/>
      <c r="K27" s="26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15.6" customHeight="1" x14ac:dyDescent="0.3">
      <c r="A28" s="128" t="s">
        <v>154</v>
      </c>
      <c r="B28" s="10"/>
      <c r="C28" s="37">
        <v>2.0000000000000001E-4</v>
      </c>
      <c r="D28" s="38">
        <f t="shared" si="0"/>
        <v>0</v>
      </c>
      <c r="E28" s="38">
        <v>2.0000000000000001E-4</v>
      </c>
      <c r="F28" s="39">
        <f t="shared" si="1"/>
        <v>0</v>
      </c>
      <c r="G28" s="39">
        <v>1</v>
      </c>
      <c r="H28" s="35">
        <f t="shared" si="2"/>
        <v>0</v>
      </c>
      <c r="I28" s="35"/>
      <c r="J28" s="35"/>
      <c r="K28" s="26"/>
    </row>
    <row r="29" spans="1:29" x14ac:dyDescent="0.3">
      <c r="A29" s="130" t="s">
        <v>155</v>
      </c>
      <c r="B29" s="11"/>
      <c r="C29" s="40">
        <v>2.0000000000000001E-4</v>
      </c>
      <c r="D29" s="41">
        <f t="shared" si="0"/>
        <v>0</v>
      </c>
      <c r="E29" s="41">
        <v>2.0000000000000001E-4</v>
      </c>
      <c r="F29" s="42">
        <f t="shared" si="1"/>
        <v>0</v>
      </c>
      <c r="G29" s="42">
        <v>1</v>
      </c>
      <c r="H29" s="35">
        <f t="shared" si="2"/>
        <v>0</v>
      </c>
      <c r="I29" s="35"/>
      <c r="J29" s="35"/>
      <c r="K29" s="21"/>
    </row>
    <row r="30" spans="1:29" x14ac:dyDescent="0.3">
      <c r="A30" s="130" t="s">
        <v>156</v>
      </c>
      <c r="B30" s="11"/>
      <c r="C30" s="40">
        <v>2.0000000000000001E-4</v>
      </c>
      <c r="D30" s="41">
        <f t="shared" si="0"/>
        <v>0</v>
      </c>
      <c r="E30" s="41">
        <v>2.0000000000000001E-4</v>
      </c>
      <c r="F30" s="42">
        <f t="shared" si="1"/>
        <v>0</v>
      </c>
      <c r="G30" s="42">
        <v>1</v>
      </c>
      <c r="H30" s="35">
        <f t="shared" si="2"/>
        <v>0</v>
      </c>
      <c r="I30" s="35"/>
      <c r="J30" s="35"/>
      <c r="K30" s="21"/>
    </row>
    <row r="31" spans="1:29" ht="15.6" customHeight="1" x14ac:dyDescent="0.3">
      <c r="A31" s="132" t="s">
        <v>157</v>
      </c>
      <c r="B31" s="12"/>
      <c r="C31" s="37">
        <v>2.0000000000000001E-4</v>
      </c>
      <c r="D31" s="38">
        <f t="shared" si="0"/>
        <v>0</v>
      </c>
      <c r="E31" s="38">
        <v>2.0000000000000001E-4</v>
      </c>
      <c r="F31" s="39">
        <f t="shared" si="1"/>
        <v>0</v>
      </c>
      <c r="G31" s="39">
        <v>1</v>
      </c>
      <c r="H31" s="35">
        <f t="shared" si="2"/>
        <v>0</v>
      </c>
      <c r="I31" s="35">
        <v>0.15</v>
      </c>
      <c r="J31" s="35">
        <f>B31*I31</f>
        <v>0</v>
      </c>
      <c r="K31" s="24"/>
    </row>
    <row r="32" spans="1:29" ht="15.6" customHeight="1" x14ac:dyDescent="0.3">
      <c r="A32" s="132" t="s">
        <v>158</v>
      </c>
      <c r="B32" s="12"/>
      <c r="C32" s="37">
        <v>2.0000000000000001E-4</v>
      </c>
      <c r="D32" s="38">
        <f t="shared" si="0"/>
        <v>0</v>
      </c>
      <c r="E32" s="38">
        <v>2.0000000000000001E-4</v>
      </c>
      <c r="F32" s="39">
        <f t="shared" si="1"/>
        <v>0</v>
      </c>
      <c r="G32" s="39">
        <v>1</v>
      </c>
      <c r="H32" s="35">
        <f t="shared" si="2"/>
        <v>0</v>
      </c>
      <c r="I32" s="35">
        <v>0.15</v>
      </c>
      <c r="J32" s="35">
        <f>B32*I32</f>
        <v>0</v>
      </c>
      <c r="K32" s="24"/>
    </row>
    <row r="33" spans="1:29" ht="15.6" customHeight="1" x14ac:dyDescent="0.3">
      <c r="A33" s="154" t="s">
        <v>135</v>
      </c>
      <c r="B33" s="10"/>
      <c r="C33" s="45"/>
      <c r="D33" s="38"/>
      <c r="E33" s="46"/>
      <c r="F33" s="39"/>
      <c r="G33" s="39"/>
      <c r="H33" s="35"/>
      <c r="I33" s="35"/>
      <c r="J33" s="35"/>
      <c r="K33" s="26"/>
    </row>
    <row r="34" spans="1:29" ht="15.6" customHeight="1" x14ac:dyDescent="0.3">
      <c r="A34" s="131" t="s">
        <v>159</v>
      </c>
      <c r="B34" s="12"/>
      <c r="C34" s="48">
        <v>2.0000000000000001E-4</v>
      </c>
      <c r="D34" s="38">
        <f t="shared" si="0"/>
        <v>0</v>
      </c>
      <c r="E34" s="47">
        <v>4.0000000000000001E-3</v>
      </c>
      <c r="F34" s="39">
        <f t="shared" si="1"/>
        <v>0</v>
      </c>
      <c r="G34" s="39">
        <v>1</v>
      </c>
      <c r="H34" s="35">
        <f t="shared" si="2"/>
        <v>0</v>
      </c>
      <c r="I34" s="35"/>
      <c r="J34" s="35"/>
      <c r="K34" s="24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ht="15.6" customHeight="1" x14ac:dyDescent="0.3">
      <c r="A35" s="131" t="s">
        <v>160</v>
      </c>
      <c r="B35" s="12"/>
      <c r="C35" s="48">
        <v>2.0000000000000001E-4</v>
      </c>
      <c r="D35" s="38">
        <f t="shared" si="0"/>
        <v>0</v>
      </c>
      <c r="E35" s="47">
        <v>4.0000000000000001E-3</v>
      </c>
      <c r="F35" s="39">
        <f t="shared" si="1"/>
        <v>0</v>
      </c>
      <c r="G35" s="39">
        <v>1</v>
      </c>
      <c r="H35" s="35">
        <f t="shared" si="2"/>
        <v>0</v>
      </c>
      <c r="I35" s="35"/>
      <c r="J35" s="35"/>
      <c r="K35" s="24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ht="15.6" customHeight="1" x14ac:dyDescent="0.3">
      <c r="A36" s="128"/>
      <c r="B36" s="10"/>
      <c r="C36" s="45"/>
      <c r="D36" s="38"/>
      <c r="E36" s="46"/>
      <c r="F36" s="39"/>
      <c r="G36" s="39"/>
      <c r="H36" s="35"/>
      <c r="I36" s="35"/>
      <c r="J36" s="35"/>
      <c r="K36" s="26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ht="15.6" customHeight="1" x14ac:dyDescent="0.3">
      <c r="A37" s="130" t="s">
        <v>161</v>
      </c>
      <c r="B37" s="13"/>
      <c r="C37" s="48">
        <v>2.0000000000000001E-4</v>
      </c>
      <c r="D37" s="38">
        <f t="shared" si="0"/>
        <v>0</v>
      </c>
      <c r="E37" s="46">
        <v>0.02</v>
      </c>
      <c r="F37" s="39">
        <f t="shared" si="1"/>
        <v>0</v>
      </c>
      <c r="G37" s="39">
        <v>1</v>
      </c>
      <c r="H37" s="35">
        <f t="shared" si="2"/>
        <v>0</v>
      </c>
      <c r="I37" s="35">
        <v>0.15</v>
      </c>
      <c r="J37" s="35">
        <f>B37*I37</f>
        <v>0</v>
      </c>
      <c r="K37" s="24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ht="15.6" customHeight="1" x14ac:dyDescent="0.3">
      <c r="A38" s="130" t="s">
        <v>162</v>
      </c>
      <c r="B38" s="13"/>
      <c r="C38" s="48">
        <v>2.0000000000000001E-4</v>
      </c>
      <c r="D38" s="38">
        <f t="shared" si="0"/>
        <v>0</v>
      </c>
      <c r="E38" s="46">
        <v>0.02</v>
      </c>
      <c r="F38" s="39">
        <f t="shared" si="1"/>
        <v>0</v>
      </c>
      <c r="G38" s="39">
        <v>1</v>
      </c>
      <c r="H38" s="35">
        <f t="shared" si="2"/>
        <v>0</v>
      </c>
      <c r="I38" s="35">
        <v>0.15</v>
      </c>
      <c r="J38" s="35">
        <f>B38*I38</f>
        <v>0</v>
      </c>
      <c r="K38" s="24"/>
    </row>
    <row r="39" spans="1:29" ht="15.6" customHeight="1" x14ac:dyDescent="0.3">
      <c r="A39" s="130" t="s">
        <v>163</v>
      </c>
      <c r="B39" s="13"/>
      <c r="C39" s="48">
        <v>2.0000000000000001E-4</v>
      </c>
      <c r="D39" s="38">
        <f t="shared" si="0"/>
        <v>0</v>
      </c>
      <c r="E39" s="46">
        <v>0.02</v>
      </c>
      <c r="F39" s="39">
        <f t="shared" si="1"/>
        <v>0</v>
      </c>
      <c r="G39" s="39">
        <v>1</v>
      </c>
      <c r="H39" s="35">
        <f t="shared" si="2"/>
        <v>0</v>
      </c>
      <c r="I39" s="35">
        <v>0.15</v>
      </c>
      <c r="J39" s="35">
        <f>B39*I39</f>
        <v>0</v>
      </c>
      <c r="K39" s="24"/>
    </row>
    <row r="40" spans="1:29" ht="15.6" customHeight="1" x14ac:dyDescent="0.3">
      <c r="A40" s="128" t="s">
        <v>164</v>
      </c>
      <c r="B40" s="10"/>
      <c r="C40" s="48">
        <v>2.0000000000000001E-4</v>
      </c>
      <c r="D40" s="38">
        <f t="shared" si="0"/>
        <v>0</v>
      </c>
      <c r="E40" s="46">
        <v>0.02</v>
      </c>
      <c r="F40" s="39">
        <f t="shared" si="1"/>
        <v>0</v>
      </c>
      <c r="G40" s="39">
        <v>1</v>
      </c>
      <c r="H40" s="35">
        <f t="shared" si="2"/>
        <v>0</v>
      </c>
      <c r="I40" s="35"/>
      <c r="J40" s="35"/>
      <c r="K40" s="26"/>
    </row>
    <row r="41" spans="1:29" ht="15.6" customHeight="1" x14ac:dyDescent="0.3">
      <c r="A41" s="128" t="s">
        <v>165</v>
      </c>
      <c r="B41" s="10"/>
      <c r="C41" s="48">
        <v>2.0000000000000001E-4</v>
      </c>
      <c r="D41" s="38">
        <f t="shared" si="0"/>
        <v>0</v>
      </c>
      <c r="E41" s="46">
        <v>0.02</v>
      </c>
      <c r="F41" s="39">
        <f t="shared" si="1"/>
        <v>0</v>
      </c>
      <c r="G41" s="39">
        <v>1</v>
      </c>
      <c r="H41" s="35">
        <f t="shared" si="2"/>
        <v>0</v>
      </c>
      <c r="I41" s="35"/>
      <c r="J41" s="35"/>
      <c r="K41" s="26"/>
    </row>
    <row r="42" spans="1:29" ht="15.6" customHeight="1" x14ac:dyDescent="0.3">
      <c r="A42" s="128" t="s">
        <v>166</v>
      </c>
      <c r="B42" s="10"/>
      <c r="C42" s="48">
        <v>2.0000000000000001E-4</v>
      </c>
      <c r="D42" s="38">
        <f t="shared" si="0"/>
        <v>0</v>
      </c>
      <c r="E42" s="46">
        <v>0.02</v>
      </c>
      <c r="F42" s="39">
        <f t="shared" si="1"/>
        <v>0</v>
      </c>
      <c r="G42" s="39">
        <v>1</v>
      </c>
      <c r="H42" s="35">
        <f t="shared" si="2"/>
        <v>0</v>
      </c>
      <c r="I42" s="35"/>
      <c r="J42" s="35"/>
      <c r="K42" s="26"/>
    </row>
    <row r="43" spans="1:29" ht="15.6" customHeight="1" x14ac:dyDescent="0.3">
      <c r="A43" s="133"/>
      <c r="B43" s="14"/>
      <c r="C43" s="45"/>
      <c r="D43" s="38"/>
      <c r="E43" s="46"/>
      <c r="F43" s="39"/>
      <c r="G43" s="39"/>
      <c r="H43" s="35"/>
      <c r="I43" s="35"/>
      <c r="J43" s="35"/>
      <c r="K43" s="26"/>
    </row>
    <row r="44" spans="1:29" ht="15.6" customHeight="1" x14ac:dyDescent="0.3">
      <c r="A44" s="128" t="s">
        <v>167</v>
      </c>
      <c r="B44" s="10"/>
      <c r="C44" s="45">
        <v>2.0000000000000001E-4</v>
      </c>
      <c r="D44" s="38">
        <f t="shared" si="0"/>
        <v>0</v>
      </c>
      <c r="E44" s="46">
        <v>9.4999999999999998E-3</v>
      </c>
      <c r="F44" s="39">
        <f t="shared" si="1"/>
        <v>0</v>
      </c>
      <c r="G44" s="39">
        <v>2</v>
      </c>
      <c r="H44" s="35">
        <f t="shared" si="2"/>
        <v>0</v>
      </c>
      <c r="I44" s="35"/>
      <c r="J44" s="35"/>
      <c r="K44" s="26"/>
    </row>
    <row r="45" spans="1:29" ht="15.6" customHeight="1" x14ac:dyDescent="0.3">
      <c r="A45" s="128" t="s">
        <v>168</v>
      </c>
      <c r="B45" s="10"/>
      <c r="C45" s="48">
        <v>2.0000000000000001E-4</v>
      </c>
      <c r="D45" s="38">
        <f t="shared" si="0"/>
        <v>0</v>
      </c>
      <c r="E45" s="47">
        <v>1.4E-2</v>
      </c>
      <c r="F45" s="39">
        <f t="shared" si="1"/>
        <v>0</v>
      </c>
      <c r="G45" s="39">
        <v>2</v>
      </c>
      <c r="H45" s="35">
        <f t="shared" si="2"/>
        <v>0</v>
      </c>
      <c r="I45" s="35"/>
      <c r="J45" s="35"/>
      <c r="K45" s="26"/>
    </row>
    <row r="46" spans="1:29" ht="15.6" customHeight="1" x14ac:dyDescent="0.3">
      <c r="A46" s="128" t="s">
        <v>169</v>
      </c>
      <c r="B46" s="10"/>
      <c r="C46" s="48">
        <v>2.0000000000000001E-4</v>
      </c>
      <c r="D46" s="38">
        <f t="shared" si="0"/>
        <v>0</v>
      </c>
      <c r="E46" s="47">
        <v>9.4999999999999998E-3</v>
      </c>
      <c r="F46" s="39">
        <f t="shared" si="1"/>
        <v>0</v>
      </c>
      <c r="G46" s="39">
        <v>2</v>
      </c>
      <c r="H46" s="35">
        <f t="shared" si="2"/>
        <v>0</v>
      </c>
      <c r="I46" s="35"/>
      <c r="J46" s="35"/>
      <c r="K46" s="26"/>
    </row>
    <row r="47" spans="1:29" ht="15.6" customHeight="1" x14ac:dyDescent="0.3">
      <c r="A47" s="128" t="s">
        <v>170</v>
      </c>
      <c r="B47" s="10"/>
      <c r="C47" s="48">
        <v>2.0000000000000001E-4</v>
      </c>
      <c r="D47" s="38">
        <f t="shared" si="0"/>
        <v>0</v>
      </c>
      <c r="E47" s="47">
        <v>1.4E-2</v>
      </c>
      <c r="F47" s="39">
        <f t="shared" si="1"/>
        <v>0</v>
      </c>
      <c r="G47" s="39">
        <v>2</v>
      </c>
      <c r="H47" s="35">
        <f t="shared" si="2"/>
        <v>0</v>
      </c>
      <c r="I47" s="35"/>
      <c r="J47" s="35"/>
      <c r="K47" s="26"/>
    </row>
    <row r="48" spans="1:29" ht="15.6" customHeight="1" x14ac:dyDescent="0.3">
      <c r="A48" s="128" t="s">
        <v>171</v>
      </c>
      <c r="B48" s="10"/>
      <c r="C48" s="45">
        <v>0</v>
      </c>
      <c r="D48" s="38">
        <f t="shared" si="0"/>
        <v>0</v>
      </c>
      <c r="E48" s="47">
        <v>6.1999999999999998E-3</v>
      </c>
      <c r="F48" s="39">
        <f t="shared" si="1"/>
        <v>0</v>
      </c>
      <c r="G48" s="39">
        <v>0</v>
      </c>
      <c r="H48" s="35">
        <f t="shared" si="2"/>
        <v>0</v>
      </c>
      <c r="I48" s="35"/>
      <c r="J48" s="35"/>
      <c r="K48" s="28"/>
    </row>
    <row r="49" spans="1:29" x14ac:dyDescent="0.3">
      <c r="A49" s="130" t="s">
        <v>172</v>
      </c>
      <c r="B49" s="11"/>
      <c r="C49" s="49">
        <v>0</v>
      </c>
      <c r="D49" s="41">
        <v>0</v>
      </c>
      <c r="E49" s="35">
        <v>8.9999999999999993E-3</v>
      </c>
      <c r="F49" s="42">
        <f t="shared" si="1"/>
        <v>0</v>
      </c>
      <c r="G49" s="42">
        <v>0</v>
      </c>
      <c r="H49" s="35">
        <f t="shared" si="2"/>
        <v>0</v>
      </c>
      <c r="I49" s="35"/>
      <c r="J49" s="35"/>
      <c r="K49" s="29"/>
    </row>
    <row r="50" spans="1:29" ht="15.6" customHeight="1" x14ac:dyDescent="0.3">
      <c r="A50" s="131" t="s">
        <v>173</v>
      </c>
      <c r="B50" s="12"/>
      <c r="C50" s="50">
        <v>1E-4</v>
      </c>
      <c r="D50" s="38">
        <f t="shared" si="0"/>
        <v>0</v>
      </c>
      <c r="E50" s="38">
        <v>2.0000000000000001E-4</v>
      </c>
      <c r="F50" s="39">
        <f t="shared" si="1"/>
        <v>0</v>
      </c>
      <c r="G50" s="39">
        <v>0</v>
      </c>
      <c r="H50" s="35">
        <f t="shared" si="2"/>
        <v>0</v>
      </c>
      <c r="I50" s="35"/>
      <c r="J50" s="35"/>
      <c r="K50" s="28"/>
      <c r="AC50" s="16"/>
    </row>
    <row r="51" spans="1:29" ht="15.6" customHeight="1" x14ac:dyDescent="0.3">
      <c r="A51" s="155" t="s">
        <v>136</v>
      </c>
      <c r="B51" s="12"/>
      <c r="C51" s="50"/>
      <c r="D51" s="38"/>
      <c r="E51" s="38"/>
      <c r="F51" s="39"/>
      <c r="G51" s="39"/>
      <c r="H51" s="35"/>
      <c r="I51" s="35"/>
      <c r="J51" s="35"/>
      <c r="K51" s="28"/>
      <c r="AC51" s="16"/>
    </row>
    <row r="52" spans="1:29" ht="15.6" customHeight="1" x14ac:dyDescent="0.3">
      <c r="A52" s="128" t="s">
        <v>174</v>
      </c>
      <c r="B52" s="10"/>
      <c r="C52" s="45">
        <v>2.1000000000000001E-4</v>
      </c>
      <c r="D52" s="38">
        <f t="shared" si="0"/>
        <v>0</v>
      </c>
      <c r="E52" s="47">
        <v>2.5000000000000001E-3</v>
      </c>
      <c r="F52" s="39">
        <f t="shared" si="1"/>
        <v>0</v>
      </c>
      <c r="G52" s="39">
        <v>1</v>
      </c>
      <c r="H52" s="35">
        <f t="shared" si="2"/>
        <v>0</v>
      </c>
      <c r="I52" s="35"/>
      <c r="J52" s="35"/>
      <c r="K52" s="26"/>
      <c r="AC52" s="16"/>
    </row>
    <row r="53" spans="1:29" ht="15.6" customHeight="1" x14ac:dyDescent="0.3">
      <c r="A53" s="128" t="s">
        <v>175</v>
      </c>
      <c r="B53" s="10"/>
      <c r="C53" s="45">
        <v>2.1000000000000001E-4</v>
      </c>
      <c r="D53" s="38">
        <f t="shared" si="0"/>
        <v>0</v>
      </c>
      <c r="E53" s="46">
        <v>2.5000000000000001E-3</v>
      </c>
      <c r="F53" s="39">
        <f t="shared" si="1"/>
        <v>0</v>
      </c>
      <c r="G53" s="39">
        <v>2</v>
      </c>
      <c r="H53" s="35">
        <f t="shared" si="2"/>
        <v>0</v>
      </c>
      <c r="I53" s="35"/>
      <c r="J53" s="35"/>
      <c r="K53" s="26"/>
    </row>
    <row r="54" spans="1:29" ht="15.6" customHeight="1" x14ac:dyDescent="0.3">
      <c r="A54" s="128" t="s">
        <v>176</v>
      </c>
      <c r="B54" s="10"/>
      <c r="C54" s="45">
        <v>2.1499999999999999E-4</v>
      </c>
      <c r="D54" s="38">
        <f t="shared" si="0"/>
        <v>0</v>
      </c>
      <c r="E54" s="47">
        <v>2.3500000000000001E-3</v>
      </c>
      <c r="F54" s="39">
        <f t="shared" si="1"/>
        <v>0</v>
      </c>
      <c r="G54" s="39">
        <v>2</v>
      </c>
      <c r="H54" s="35">
        <f t="shared" si="2"/>
        <v>0</v>
      </c>
      <c r="I54" s="35"/>
      <c r="J54" s="35"/>
      <c r="K54" s="26"/>
    </row>
    <row r="55" spans="1:29" ht="15.6" customHeight="1" x14ac:dyDescent="0.3">
      <c r="A55" s="128" t="s">
        <v>177</v>
      </c>
      <c r="B55" s="10"/>
      <c r="C55" s="45">
        <v>3.7500000000000001E-4</v>
      </c>
      <c r="D55" s="38">
        <f t="shared" si="0"/>
        <v>0</v>
      </c>
      <c r="E55" s="47">
        <v>2.5999999999999999E-3</v>
      </c>
      <c r="F55" s="39">
        <f t="shared" si="1"/>
        <v>0</v>
      </c>
      <c r="G55" s="39">
        <v>1</v>
      </c>
      <c r="H55" s="35">
        <f t="shared" si="2"/>
        <v>0</v>
      </c>
      <c r="I55" s="35"/>
      <c r="J55" s="35"/>
      <c r="K55" s="26"/>
    </row>
    <row r="56" spans="1:29" ht="15.6" customHeight="1" x14ac:dyDescent="0.3">
      <c r="A56" s="128" t="s">
        <v>178</v>
      </c>
      <c r="B56" s="10"/>
      <c r="C56" s="45">
        <v>2.2499999999999999E-4</v>
      </c>
      <c r="D56" s="38">
        <f t="shared" si="0"/>
        <v>0</v>
      </c>
      <c r="E56" s="46">
        <v>2.7499999999999998E-3</v>
      </c>
      <c r="F56" s="39">
        <f t="shared" si="1"/>
        <v>0</v>
      </c>
      <c r="G56" s="39">
        <v>2</v>
      </c>
      <c r="H56" s="35">
        <f t="shared" si="2"/>
        <v>0</v>
      </c>
      <c r="I56" s="39"/>
      <c r="J56" s="39"/>
      <c r="K56" s="27"/>
    </row>
    <row r="57" spans="1:29" ht="15.6" customHeight="1" x14ac:dyDescent="0.3">
      <c r="A57" s="128" t="s">
        <v>179</v>
      </c>
      <c r="B57" s="10"/>
      <c r="C57" s="45">
        <v>5.3E-3</v>
      </c>
      <c r="D57" s="38">
        <f t="shared" si="0"/>
        <v>0</v>
      </c>
      <c r="E57" s="46">
        <v>2.7499999999999998E-3</v>
      </c>
      <c r="F57" s="39">
        <f t="shared" si="1"/>
        <v>0</v>
      </c>
      <c r="G57" s="39">
        <v>1</v>
      </c>
      <c r="H57" s="35">
        <f t="shared" si="2"/>
        <v>0</v>
      </c>
      <c r="I57" s="39"/>
      <c r="J57" s="39"/>
      <c r="K57" s="27"/>
    </row>
    <row r="58" spans="1:29" ht="15.6" customHeight="1" x14ac:dyDescent="0.3">
      <c r="A58" s="128" t="s">
        <v>180</v>
      </c>
      <c r="B58" s="10"/>
      <c r="C58" s="45">
        <v>0</v>
      </c>
      <c r="D58" s="38">
        <f t="shared" si="0"/>
        <v>0</v>
      </c>
      <c r="E58" s="46"/>
      <c r="F58" s="39">
        <f t="shared" si="1"/>
        <v>0</v>
      </c>
      <c r="G58" s="39">
        <v>0</v>
      </c>
      <c r="H58" s="35">
        <f t="shared" si="2"/>
        <v>0</v>
      </c>
      <c r="I58" s="35"/>
      <c r="J58" s="35"/>
      <c r="K58" s="27"/>
    </row>
    <row r="59" spans="1:29" ht="15.6" customHeight="1" x14ac:dyDescent="0.3">
      <c r="A59" s="134" t="s">
        <v>181</v>
      </c>
      <c r="B59" s="10"/>
      <c r="C59" s="45">
        <v>4.6000000000000001E-4</v>
      </c>
      <c r="D59" s="38">
        <f t="shared" si="0"/>
        <v>0</v>
      </c>
      <c r="E59" s="46">
        <v>4.6000000000000001E-4</v>
      </c>
      <c r="F59" s="39">
        <f t="shared" si="1"/>
        <v>0</v>
      </c>
      <c r="G59" s="39">
        <v>1</v>
      </c>
      <c r="H59" s="35">
        <f t="shared" si="2"/>
        <v>0</v>
      </c>
      <c r="I59" s="39"/>
      <c r="J59" s="39"/>
      <c r="K59" s="27"/>
    </row>
    <row r="60" spans="1:29" x14ac:dyDescent="0.3">
      <c r="A60" s="130" t="s">
        <v>182</v>
      </c>
      <c r="B60" s="11"/>
      <c r="C60" s="49">
        <v>7.2000000000000005E-4</v>
      </c>
      <c r="D60" s="41">
        <f t="shared" si="0"/>
        <v>0</v>
      </c>
      <c r="E60" s="35">
        <v>5.4999999999999997E-3</v>
      </c>
      <c r="F60" s="42">
        <f t="shared" si="1"/>
        <v>0</v>
      </c>
      <c r="G60" s="42">
        <v>1</v>
      </c>
      <c r="H60" s="35">
        <f t="shared" si="2"/>
        <v>0</v>
      </c>
      <c r="I60" s="35"/>
      <c r="J60" s="35"/>
      <c r="K60" s="21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x14ac:dyDescent="0.3">
      <c r="A61" s="130" t="s">
        <v>183</v>
      </c>
      <c r="B61" s="11"/>
      <c r="C61" s="49">
        <v>7.2000000000000005E-4</v>
      </c>
      <c r="D61" s="41">
        <f t="shared" si="0"/>
        <v>0</v>
      </c>
      <c r="E61" s="35">
        <v>5.4999999999999997E-3</v>
      </c>
      <c r="F61" s="42">
        <f t="shared" si="1"/>
        <v>0</v>
      </c>
      <c r="G61" s="42">
        <v>2</v>
      </c>
      <c r="H61" s="35">
        <f t="shared" si="2"/>
        <v>0</v>
      </c>
      <c r="I61" s="35"/>
      <c r="J61" s="35"/>
      <c r="K61" s="21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x14ac:dyDescent="0.3">
      <c r="A62" s="130" t="s">
        <v>184</v>
      </c>
      <c r="B62" s="11"/>
      <c r="C62" s="49">
        <v>7.2000000000000005E-4</v>
      </c>
      <c r="D62" s="41">
        <f t="shared" si="0"/>
        <v>0</v>
      </c>
      <c r="E62" s="35">
        <v>5.4999999999999997E-3</v>
      </c>
      <c r="F62" s="42">
        <f t="shared" si="1"/>
        <v>0</v>
      </c>
      <c r="G62" s="42">
        <v>3</v>
      </c>
      <c r="H62" s="35">
        <f t="shared" si="2"/>
        <v>0</v>
      </c>
      <c r="I62" s="35">
        <v>0.15</v>
      </c>
      <c r="J62" s="35">
        <f t="shared" ref="J62:J69" si="3">B62*I62</f>
        <v>0</v>
      </c>
      <c r="K62" s="21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 x14ac:dyDescent="0.3">
      <c r="A63" s="130" t="s">
        <v>185</v>
      </c>
      <c r="B63" s="11"/>
      <c r="C63" s="49">
        <v>8.5999999999999998E-4</v>
      </c>
      <c r="D63" s="41">
        <f t="shared" si="0"/>
        <v>0</v>
      </c>
      <c r="E63" s="35">
        <v>8.3000000000000001E-3</v>
      </c>
      <c r="F63" s="42">
        <f t="shared" si="1"/>
        <v>0</v>
      </c>
      <c r="G63" s="42">
        <v>6</v>
      </c>
      <c r="H63" s="35">
        <f t="shared" si="2"/>
        <v>0</v>
      </c>
      <c r="I63" s="35">
        <v>0.15</v>
      </c>
      <c r="J63" s="35">
        <f t="shared" si="3"/>
        <v>0</v>
      </c>
      <c r="K63" s="21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x14ac:dyDescent="0.3">
      <c r="A64" s="130" t="s">
        <v>187</v>
      </c>
      <c r="B64" s="11"/>
      <c r="C64" s="49">
        <v>6.3000000000000003E-4</v>
      </c>
      <c r="D64" s="41">
        <f t="shared" si="0"/>
        <v>0</v>
      </c>
      <c r="E64" s="35">
        <v>7.7999999999999996E-3</v>
      </c>
      <c r="F64" s="42">
        <f t="shared" si="1"/>
        <v>0</v>
      </c>
      <c r="G64" s="42">
        <v>3</v>
      </c>
      <c r="H64" s="35">
        <f t="shared" si="2"/>
        <v>0</v>
      </c>
      <c r="I64" s="35">
        <v>0.15</v>
      </c>
      <c r="J64" s="35">
        <f t="shared" si="3"/>
        <v>0</v>
      </c>
      <c r="K64" s="21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 x14ac:dyDescent="0.3">
      <c r="A65" s="130" t="s">
        <v>188</v>
      </c>
      <c r="B65" s="11"/>
      <c r="C65" s="49">
        <v>7.3999999999999999E-4</v>
      </c>
      <c r="D65" s="41">
        <f t="shared" si="0"/>
        <v>0</v>
      </c>
      <c r="E65" s="35">
        <v>3.0999999999999999E-3</v>
      </c>
      <c r="F65" s="42">
        <f t="shared" si="1"/>
        <v>0</v>
      </c>
      <c r="G65" s="42">
        <v>2</v>
      </c>
      <c r="H65" s="35">
        <f t="shared" si="2"/>
        <v>0</v>
      </c>
      <c r="I65" s="35">
        <v>0.15</v>
      </c>
      <c r="J65" s="35">
        <f t="shared" si="3"/>
        <v>0</v>
      </c>
      <c r="K65" s="21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x14ac:dyDescent="0.3">
      <c r="A66" s="130" t="s">
        <v>189</v>
      </c>
      <c r="B66" s="10"/>
      <c r="C66" s="49">
        <v>1.0500000000000001E-2</v>
      </c>
      <c r="D66" s="41">
        <f t="shared" si="0"/>
        <v>0</v>
      </c>
      <c r="E66" s="35">
        <v>1.0500000000000001E-2</v>
      </c>
      <c r="F66" s="42">
        <f t="shared" si="1"/>
        <v>0</v>
      </c>
      <c r="G66" s="42">
        <v>2</v>
      </c>
      <c r="H66" s="35">
        <f t="shared" si="2"/>
        <v>0</v>
      </c>
      <c r="I66" s="35">
        <v>0.15</v>
      </c>
      <c r="J66" s="35">
        <f t="shared" si="3"/>
        <v>0</v>
      </c>
      <c r="K66" s="21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x14ac:dyDescent="0.3">
      <c r="A67" s="130" t="s">
        <v>190</v>
      </c>
      <c r="B67" s="10"/>
      <c r="C67" s="49">
        <v>3.3500000000000001E-3</v>
      </c>
      <c r="D67" s="41">
        <f t="shared" si="0"/>
        <v>0</v>
      </c>
      <c r="E67" s="35">
        <v>3.3500000000000001E-3</v>
      </c>
      <c r="F67" s="42">
        <f t="shared" si="1"/>
        <v>0</v>
      </c>
      <c r="G67" s="42">
        <v>1</v>
      </c>
      <c r="H67" s="35">
        <f t="shared" si="2"/>
        <v>0</v>
      </c>
      <c r="I67" s="35">
        <v>0.15</v>
      </c>
      <c r="J67" s="35">
        <f t="shared" si="3"/>
        <v>0</v>
      </c>
      <c r="K67" s="21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:29" x14ac:dyDescent="0.3">
      <c r="A68" s="130" t="s">
        <v>217</v>
      </c>
      <c r="B68" s="10">
        <v>0</v>
      </c>
      <c r="C68" s="49">
        <v>0</v>
      </c>
      <c r="D68" s="41">
        <f t="shared" si="0"/>
        <v>0</v>
      </c>
      <c r="E68" s="35">
        <v>2.4500000000000001E-2</v>
      </c>
      <c r="F68" s="42">
        <f>IF(B68=0,(B66+B67)*E68,B68*E68)</f>
        <v>0</v>
      </c>
      <c r="G68" s="42"/>
      <c r="H68" s="35"/>
      <c r="I68" s="35"/>
      <c r="J68" s="35"/>
      <c r="K68" s="21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x14ac:dyDescent="0.3">
      <c r="A69" s="130" t="s">
        <v>191</v>
      </c>
      <c r="B69" s="11"/>
      <c r="C69" s="49">
        <v>6.8999999999999997E-4</v>
      </c>
      <c r="D69" s="41">
        <f t="shared" si="0"/>
        <v>0</v>
      </c>
      <c r="E69" s="35">
        <v>3.3E-3</v>
      </c>
      <c r="F69" s="42">
        <f t="shared" si="1"/>
        <v>0</v>
      </c>
      <c r="G69" s="42">
        <v>1</v>
      </c>
      <c r="H69" s="35">
        <f t="shared" si="2"/>
        <v>0</v>
      </c>
      <c r="I69" s="35">
        <v>0.15</v>
      </c>
      <c r="J69" s="35">
        <f t="shared" si="3"/>
        <v>0</v>
      </c>
      <c r="K69" s="21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ht="15.6" customHeight="1" x14ac:dyDescent="0.3">
      <c r="A70" s="154" t="s">
        <v>137</v>
      </c>
      <c r="B70" s="10"/>
      <c r="C70" s="45"/>
      <c r="D70" s="38"/>
      <c r="E70" s="46"/>
      <c r="F70" s="39"/>
      <c r="G70" s="39"/>
      <c r="H70" s="35"/>
      <c r="I70" s="35"/>
      <c r="J70" s="35"/>
      <c r="K70" s="2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ht="15.6" customHeight="1" x14ac:dyDescent="0.3">
      <c r="A71" s="128" t="s">
        <v>192</v>
      </c>
      <c r="B71" s="10"/>
      <c r="C71" s="45">
        <v>4.6000000000000001E-4</v>
      </c>
      <c r="D71" s="38">
        <f t="shared" ref="D71:D75" si="4">B71*C71</f>
        <v>0</v>
      </c>
      <c r="E71" s="46">
        <v>4.6000000000000001E-4</v>
      </c>
      <c r="F71" s="39">
        <f t="shared" ref="F71:F75" si="5">B71*E71</f>
        <v>0</v>
      </c>
      <c r="G71" s="39">
        <v>1</v>
      </c>
      <c r="H71" s="35">
        <f>B71*G71</f>
        <v>0</v>
      </c>
      <c r="I71" s="35"/>
      <c r="J71" s="35"/>
      <c r="K71" s="26"/>
    </row>
    <row r="72" spans="1:29" ht="15.6" customHeight="1" x14ac:dyDescent="0.3">
      <c r="A72" s="128" t="s">
        <v>193</v>
      </c>
      <c r="B72" s="10"/>
      <c r="C72" s="45">
        <v>9.2000000000000003E-4</v>
      </c>
      <c r="D72" s="38">
        <f t="shared" si="4"/>
        <v>0</v>
      </c>
      <c r="E72" s="46">
        <v>9.2000000000000003E-4</v>
      </c>
      <c r="F72" s="39">
        <f t="shared" si="5"/>
        <v>0</v>
      </c>
      <c r="G72" s="39">
        <v>2</v>
      </c>
      <c r="H72" s="35">
        <f>B72*G72</f>
        <v>0</v>
      </c>
      <c r="I72" s="35"/>
      <c r="J72" s="35"/>
      <c r="K72" s="26"/>
    </row>
    <row r="73" spans="1:29" ht="15.6" customHeight="1" x14ac:dyDescent="0.3">
      <c r="A73" s="128" t="s">
        <v>194</v>
      </c>
      <c r="B73" s="10"/>
      <c r="C73" s="45">
        <v>4.0000000000000001E-3</v>
      </c>
      <c r="D73" s="38">
        <f t="shared" si="4"/>
        <v>0</v>
      </c>
      <c r="E73" s="46">
        <v>4.0000000000000001E-3</v>
      </c>
      <c r="F73" s="39">
        <f t="shared" si="5"/>
        <v>0</v>
      </c>
      <c r="G73" s="39">
        <v>1</v>
      </c>
      <c r="H73" s="35">
        <f>B73*G73</f>
        <v>0</v>
      </c>
      <c r="I73" s="35"/>
      <c r="J73" s="35"/>
      <c r="K73" s="26"/>
    </row>
    <row r="74" spans="1:29" ht="15.6" customHeight="1" x14ac:dyDescent="0.3">
      <c r="A74" s="128" t="s">
        <v>218</v>
      </c>
      <c r="B74" s="10"/>
      <c r="C74" s="45">
        <v>4.1999999999999997E-3</v>
      </c>
      <c r="D74" s="38">
        <f t="shared" si="4"/>
        <v>0</v>
      </c>
      <c r="E74" s="46">
        <v>4.1999999999999997E-3</v>
      </c>
      <c r="F74" s="39">
        <f t="shared" si="5"/>
        <v>0</v>
      </c>
      <c r="G74" s="39">
        <v>1</v>
      </c>
      <c r="H74" s="35">
        <f>B74*G74</f>
        <v>0</v>
      </c>
      <c r="I74" s="35">
        <v>0.15</v>
      </c>
      <c r="J74" s="35">
        <f t="shared" ref="J74" si="6">B74*I74</f>
        <v>0</v>
      </c>
      <c r="K74" s="26"/>
    </row>
    <row r="75" spans="1:29" ht="15.6" customHeight="1" x14ac:dyDescent="0.3">
      <c r="A75" s="128" t="s">
        <v>195</v>
      </c>
      <c r="B75" s="10"/>
      <c r="C75" s="45">
        <v>0</v>
      </c>
      <c r="D75" s="38">
        <f t="shared" si="4"/>
        <v>0</v>
      </c>
      <c r="E75" s="46">
        <v>2E-3</v>
      </c>
      <c r="F75" s="39">
        <f t="shared" si="5"/>
        <v>0</v>
      </c>
      <c r="G75" s="39">
        <v>0</v>
      </c>
      <c r="H75" s="35">
        <f>B75*G75</f>
        <v>0</v>
      </c>
      <c r="I75" s="35"/>
      <c r="J75" s="35"/>
      <c r="K75" s="26"/>
    </row>
    <row r="76" spans="1:29" ht="15.6" customHeight="1" x14ac:dyDescent="0.3">
      <c r="A76" s="128"/>
      <c r="B76" s="10"/>
      <c r="C76" s="45"/>
      <c r="D76" s="46"/>
      <c r="E76" s="46"/>
      <c r="F76" s="46"/>
      <c r="G76" s="46"/>
      <c r="H76" s="46"/>
      <c r="I76" s="46"/>
      <c r="J76" s="46"/>
      <c r="K76" s="26"/>
    </row>
    <row r="77" spans="1:29" ht="15.6" customHeight="1" x14ac:dyDescent="0.3">
      <c r="A77" s="128" t="s">
        <v>7</v>
      </c>
      <c r="B77" s="10">
        <f>SUM(B7:B18,B27:B33,B34:B42,B44:B47,B52:B67,B69:B74)</f>
        <v>0</v>
      </c>
      <c r="C77" s="126" t="s">
        <v>8</v>
      </c>
      <c r="D77" s="46">
        <f>SUM(D7:D76)</f>
        <v>0</v>
      </c>
      <c r="E77" s="127" t="s">
        <v>9</v>
      </c>
      <c r="F77" s="46">
        <f>SUM(F5:F76)</f>
        <v>2.5000000000000001E-2</v>
      </c>
      <c r="G77" s="127" t="s">
        <v>38</v>
      </c>
      <c r="H77" s="46">
        <f>SUM(H7:H75)</f>
        <v>0</v>
      </c>
      <c r="I77" s="127" t="s">
        <v>186</v>
      </c>
      <c r="J77" s="46">
        <f>SUM(J7:J76)</f>
        <v>0</v>
      </c>
      <c r="K77" s="28"/>
    </row>
    <row r="78" spans="1:29" ht="16.2" thickBot="1" x14ac:dyDescent="0.35">
      <c r="A78" s="30" t="s">
        <v>197</v>
      </c>
      <c r="B78" s="15"/>
      <c r="C78" s="15" t="s">
        <v>208</v>
      </c>
      <c r="D78" s="15"/>
      <c r="E78" s="15"/>
      <c r="F78" s="15"/>
      <c r="G78" s="15"/>
      <c r="H78" s="15"/>
      <c r="I78" s="15"/>
      <c r="J78" s="15"/>
      <c r="K78" s="30"/>
    </row>
    <row r="79" spans="1:29" ht="16.8" thickTop="1" thickBot="1" x14ac:dyDescent="0.35">
      <c r="A79" s="156" t="s">
        <v>201</v>
      </c>
      <c r="C79" s="19">
        <f>VLOOKUP(A79,Sheet2!A:B,2,FALSE)</f>
        <v>3</v>
      </c>
      <c r="D79" s="16"/>
      <c r="E79" s="16"/>
      <c r="F79" s="53" t="str">
        <f>IF(F77&lt;0.4,"Load ok","above 80% load")</f>
        <v>Load ok</v>
      </c>
      <c r="G79" s="16"/>
      <c r="H79" s="16"/>
      <c r="I79" s="16"/>
      <c r="J79" s="16"/>
    </row>
    <row r="80" spans="1:29" ht="16.2" thickBot="1" x14ac:dyDescent="0.35">
      <c r="A80" s="19" t="s">
        <v>18</v>
      </c>
      <c r="C80" s="16" t="s">
        <v>39</v>
      </c>
      <c r="D80" s="16"/>
      <c r="E80" s="16"/>
      <c r="F80" s="16"/>
      <c r="G80" s="16"/>
      <c r="H80" s="16"/>
      <c r="I80" s="16"/>
      <c r="J80" s="16"/>
    </row>
    <row r="81" spans="1:3" ht="16.2" thickBot="1" x14ac:dyDescent="0.35">
      <c r="A81" s="17" t="s">
        <v>20</v>
      </c>
      <c r="C81" s="19">
        <f>VLOOKUP(A81,Sheet2!A:B,2,FALSE)</f>
        <v>12.5</v>
      </c>
    </row>
    <row r="82" spans="1:3" ht="16.2" thickBot="1" x14ac:dyDescent="0.35">
      <c r="A82" s="19" t="s">
        <v>120</v>
      </c>
    </row>
    <row r="83" spans="1:3" ht="16.2" thickBot="1" x14ac:dyDescent="0.35">
      <c r="A83" s="17">
        <v>2000</v>
      </c>
    </row>
    <row r="84" spans="1:3" ht="16.2" thickBot="1" x14ac:dyDescent="0.35">
      <c r="A84" s="19" t="s">
        <v>40</v>
      </c>
    </row>
    <row r="85" spans="1:3" ht="16.8" thickTop="1" thickBot="1" x14ac:dyDescent="0.35">
      <c r="A85" s="51">
        <f>PRODUCT(((A83*((C81/1000)*2))+J77)*F77)</f>
        <v>1.25</v>
      </c>
      <c r="C85" s="53" t="str">
        <f>IF(A85&lt;8,"Loop ok","Loop not ok")</f>
        <v>Loop ok</v>
      </c>
    </row>
    <row r="86" spans="1:3" ht="16.2" thickBot="1" x14ac:dyDescent="0.35">
      <c r="A86" s="52" t="s">
        <v>119</v>
      </c>
    </row>
    <row r="87" spans="1:3" ht="16.2" thickBot="1" x14ac:dyDescent="0.35">
      <c r="A87" s="54">
        <f>MIN(2000,(PRODUCT((6/F77)/((C81/1000)*2))))</f>
        <v>2000</v>
      </c>
    </row>
  </sheetData>
  <sheetProtection algorithmName="SHA-512" hashValue="mhp7SlxsNrxAE62MXJj+nSynF3Yiuv3+S8gM4rvQeetmhdXnLAwLx9YOEbjV3U/sEJGGvGr6tCK+mlGogQ9cqg==" saltValue="tPLZbBrWlrGlHhmRr/tDnw==" spinCount="100000" sheet="1" selectLockedCells="1"/>
  <mergeCells count="2">
    <mergeCell ref="I2:I4"/>
    <mergeCell ref="J2:J4"/>
  </mergeCells>
  <conditionalFormatting sqref="A85">
    <cfRule type="cellIs" dxfId="20" priority="5" stopIfTrue="1" operator="lessThan">
      <formula>8</formula>
    </cfRule>
    <cfRule type="cellIs" dxfId="19" priority="6" stopIfTrue="1" operator="greaterThan">
      <formula>8</formula>
    </cfRule>
  </conditionalFormatting>
  <conditionalFormatting sqref="C85">
    <cfRule type="cellIs" dxfId="18" priority="1" operator="equal">
      <formula>"Loop not ok"</formula>
    </cfRule>
    <cfRule type="cellIs" dxfId="17" priority="7" stopIfTrue="1" operator="equal">
      <formula>"Loop Ok"</formula>
    </cfRule>
  </conditionalFormatting>
  <conditionalFormatting sqref="F77">
    <cfRule type="cellIs" dxfId="16" priority="2" operator="lessThan">
      <formula>0.4</formula>
    </cfRule>
    <cfRule type="cellIs" dxfId="15" priority="3" operator="greaterThan">
      <formula>0.4</formula>
    </cfRule>
    <cfRule type="cellIs" dxfId="14" priority="4" operator="greaterThan">
      <formula>0.4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portrait" r:id="rId1"/>
  <ignoredErrors>
    <ignoredError sqref="F6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0EF931-6E4E-44AC-A2B5-B020FE26BF88}">
          <x14:formula1>
            <xm:f>Sheet2!$A$25:$A$33</xm:f>
          </x14:formula1>
          <xm:sqref>A79</xm:sqref>
        </x14:dataValidation>
        <x14:dataValidation type="list" allowBlank="1" showInputMessage="1" showErrorMessage="1" xr:uid="{7B3747A1-146C-459F-93B2-D27254FEE2FF}">
          <x14:formula1>
            <xm:f>Sheet2!$A$6:$A$22</xm:f>
          </x14:formula1>
          <xm:sqref>A81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004EA-F5D6-429C-877A-F90F0EBE6014}">
  <sheetPr>
    <pageSetUpPr fitToPage="1"/>
  </sheetPr>
  <dimension ref="A1:AC87"/>
  <sheetViews>
    <sheetView zoomScale="81" zoomScaleNormal="81" workbookViewId="0">
      <selection activeCell="B6" sqref="B6"/>
    </sheetView>
  </sheetViews>
  <sheetFormatPr defaultColWidth="8.88671875" defaultRowHeight="15.6" x14ac:dyDescent="0.3"/>
  <cols>
    <col min="1" max="1" width="79" style="19" customWidth="1"/>
    <col min="2" max="2" width="5.33203125" style="16" customWidth="1"/>
    <col min="3" max="3" width="12.44140625" style="19" customWidth="1"/>
    <col min="4" max="4" width="18.44140625" style="19" customWidth="1"/>
    <col min="5" max="6" width="19.6640625" style="19" customWidth="1"/>
    <col min="7" max="10" width="13.5546875" style="19" customWidth="1"/>
    <col min="11" max="11" width="16.6640625" style="19" customWidth="1"/>
    <col min="12" max="16384" width="8.88671875" style="20"/>
  </cols>
  <sheetData>
    <row r="1" spans="1:13" ht="30" customHeight="1" thickBot="1" x14ac:dyDescent="0.35">
      <c r="A1" s="18" t="s">
        <v>6</v>
      </c>
      <c r="B1" s="55"/>
    </row>
    <row r="2" spans="1:13" ht="15.75" customHeight="1" thickBot="1" x14ac:dyDescent="0.35">
      <c r="A2" s="157"/>
      <c r="B2" s="146"/>
      <c r="C2" s="147"/>
      <c r="D2" s="147"/>
      <c r="E2" s="147"/>
      <c r="F2" s="147"/>
      <c r="G2" s="147" t="s">
        <v>36</v>
      </c>
      <c r="H2" s="147"/>
      <c r="I2" s="179" t="s">
        <v>131</v>
      </c>
      <c r="J2" s="179" t="s">
        <v>132</v>
      </c>
      <c r="K2" s="148"/>
    </row>
    <row r="3" spans="1:13" ht="15.6" customHeight="1" x14ac:dyDescent="0.3">
      <c r="A3" s="145" t="s">
        <v>211</v>
      </c>
      <c r="B3" s="149" t="s">
        <v>0</v>
      </c>
      <c r="C3" s="150" t="s">
        <v>2</v>
      </c>
      <c r="D3" s="150" t="s">
        <v>1</v>
      </c>
      <c r="E3" s="150" t="s">
        <v>3</v>
      </c>
      <c r="F3" s="150" t="s">
        <v>4</v>
      </c>
      <c r="G3" s="150" t="s">
        <v>37</v>
      </c>
      <c r="H3" s="150" t="s">
        <v>38</v>
      </c>
      <c r="I3" s="180"/>
      <c r="J3" s="180"/>
      <c r="K3" s="151" t="s">
        <v>5</v>
      </c>
    </row>
    <row r="4" spans="1:13" ht="15.6" customHeight="1" thickBot="1" x14ac:dyDescent="0.35">
      <c r="A4" s="158" t="s">
        <v>209</v>
      </c>
      <c r="B4" s="149"/>
      <c r="C4" s="150"/>
      <c r="D4" s="150"/>
      <c r="E4" s="150"/>
      <c r="F4" s="152"/>
      <c r="G4" s="152"/>
      <c r="H4" s="152"/>
      <c r="I4" s="181"/>
      <c r="J4" s="181"/>
      <c r="K4" s="151"/>
    </row>
    <row r="5" spans="1:13" ht="15.6" customHeight="1" thickBot="1" x14ac:dyDescent="0.35">
      <c r="A5" s="160" t="s">
        <v>210</v>
      </c>
      <c r="B5" s="153">
        <v>5</v>
      </c>
      <c r="C5" s="31">
        <v>0</v>
      </c>
      <c r="D5" s="32">
        <f>B5*C5</f>
        <v>0</v>
      </c>
      <c r="E5" s="33">
        <v>5.0000000000000001E-3</v>
      </c>
      <c r="F5" s="34">
        <f>B5*E5</f>
        <v>2.5000000000000001E-2</v>
      </c>
      <c r="G5" s="35">
        <v>0</v>
      </c>
      <c r="H5" s="36"/>
      <c r="I5" s="36"/>
      <c r="J5" s="36"/>
      <c r="K5" s="22"/>
    </row>
    <row r="6" spans="1:13" ht="15.6" customHeight="1" x14ac:dyDescent="0.3">
      <c r="A6" s="159" t="s">
        <v>133</v>
      </c>
      <c r="B6" s="140"/>
      <c r="C6" s="141"/>
      <c r="D6" s="142"/>
      <c r="E6" s="143"/>
      <c r="F6" s="34"/>
      <c r="G6" s="35"/>
      <c r="H6" s="36"/>
      <c r="I6" s="36"/>
      <c r="J6" s="36"/>
      <c r="K6" s="144"/>
    </row>
    <row r="7" spans="1:13" ht="15.6" customHeight="1" x14ac:dyDescent="0.3">
      <c r="A7" s="128" t="s">
        <v>138</v>
      </c>
      <c r="B7" s="10"/>
      <c r="C7" s="37">
        <v>1.7000000000000001E-4</v>
      </c>
      <c r="D7" s="38">
        <f>B7*C7</f>
        <v>0</v>
      </c>
      <c r="E7" s="37">
        <v>1.7000000000000001E-4</v>
      </c>
      <c r="F7" s="39">
        <f>B7*E7</f>
        <v>0</v>
      </c>
      <c r="G7" s="35">
        <v>1</v>
      </c>
      <c r="H7" s="35">
        <f>B7*G7</f>
        <v>0</v>
      </c>
      <c r="I7" s="35"/>
      <c r="J7" s="35"/>
      <c r="K7" s="23"/>
    </row>
    <row r="8" spans="1:13" ht="15.6" customHeight="1" x14ac:dyDescent="0.3">
      <c r="A8" s="128" t="s">
        <v>139</v>
      </c>
      <c r="B8" s="10"/>
      <c r="C8" s="37">
        <v>2.2000000000000001E-4</v>
      </c>
      <c r="D8" s="38">
        <f t="shared" ref="D8:D69" si="0">B8*C8</f>
        <v>0</v>
      </c>
      <c r="E8" s="37">
        <v>2.2000000000000001E-4</v>
      </c>
      <c r="F8" s="39">
        <f>B8*E8</f>
        <v>0</v>
      </c>
      <c r="G8" s="35">
        <v>1</v>
      </c>
      <c r="H8" s="35">
        <f>B8*G8</f>
        <v>0</v>
      </c>
      <c r="I8" s="35">
        <v>0.05</v>
      </c>
      <c r="J8" s="35">
        <f>B8*I8</f>
        <v>0</v>
      </c>
      <c r="K8" s="23"/>
    </row>
    <row r="9" spans="1:13" ht="15.6" customHeight="1" x14ac:dyDescent="0.3">
      <c r="A9" s="128" t="s">
        <v>140</v>
      </c>
      <c r="B9" s="10"/>
      <c r="C9" s="37">
        <v>1.7000000000000001E-4</v>
      </c>
      <c r="D9" s="38">
        <f t="shared" si="0"/>
        <v>0</v>
      </c>
      <c r="E9" s="37">
        <v>1.7000000000000001E-4</v>
      </c>
      <c r="F9" s="39">
        <f t="shared" ref="F9:F69" si="1">B9*E9</f>
        <v>0</v>
      </c>
      <c r="G9" s="35">
        <v>1</v>
      </c>
      <c r="H9" s="35">
        <f t="shared" ref="H9:H69" si="2">B9*G9</f>
        <v>0</v>
      </c>
      <c r="I9" s="35"/>
      <c r="J9" s="35"/>
      <c r="K9" s="23"/>
    </row>
    <row r="10" spans="1:13" ht="15.6" customHeight="1" x14ac:dyDescent="0.3">
      <c r="A10" s="128" t="s">
        <v>145</v>
      </c>
      <c r="B10" s="10"/>
      <c r="C10" s="37">
        <v>1.7000000000000001E-4</v>
      </c>
      <c r="D10" s="38">
        <f t="shared" si="0"/>
        <v>0</v>
      </c>
      <c r="E10" s="37">
        <v>1.7000000000000001E-4</v>
      </c>
      <c r="F10" s="39">
        <f t="shared" si="1"/>
        <v>0</v>
      </c>
      <c r="G10" s="35">
        <v>1</v>
      </c>
      <c r="H10" s="35">
        <f t="shared" si="2"/>
        <v>0</v>
      </c>
      <c r="I10" s="35"/>
      <c r="J10" s="35"/>
      <c r="K10" s="23"/>
    </row>
    <row r="11" spans="1:13" ht="15.6" customHeight="1" x14ac:dyDescent="0.3">
      <c r="A11" s="128" t="s">
        <v>146</v>
      </c>
      <c r="B11" s="10"/>
      <c r="C11" s="37">
        <v>1.7000000000000001E-4</v>
      </c>
      <c r="D11" s="38">
        <f t="shared" si="0"/>
        <v>0</v>
      </c>
      <c r="E11" s="37">
        <v>1.7000000000000001E-4</v>
      </c>
      <c r="F11" s="39">
        <f t="shared" si="1"/>
        <v>0</v>
      </c>
      <c r="G11" s="35">
        <v>1</v>
      </c>
      <c r="H11" s="35">
        <f t="shared" si="2"/>
        <v>0</v>
      </c>
      <c r="I11" s="35"/>
      <c r="J11" s="35"/>
      <c r="K11" s="23"/>
      <c r="M11" s="125"/>
    </row>
    <row r="12" spans="1:13" ht="15.6" customHeight="1" x14ac:dyDescent="0.3">
      <c r="A12" s="128" t="s">
        <v>141</v>
      </c>
      <c r="B12" s="10"/>
      <c r="C12" s="37">
        <v>2.2000000000000001E-4</v>
      </c>
      <c r="D12" s="38">
        <f t="shared" si="0"/>
        <v>0</v>
      </c>
      <c r="E12" s="37">
        <v>2.2000000000000001E-4</v>
      </c>
      <c r="F12" s="39">
        <f>B12*E12</f>
        <v>0</v>
      </c>
      <c r="G12" s="35">
        <v>1</v>
      </c>
      <c r="H12" s="35">
        <f t="shared" si="2"/>
        <v>0</v>
      </c>
      <c r="I12" s="35">
        <v>0.05</v>
      </c>
      <c r="J12" s="35">
        <f>B12*I12</f>
        <v>0</v>
      </c>
      <c r="K12" s="23"/>
      <c r="M12" s="125"/>
    </row>
    <row r="13" spans="1:13" ht="15.6" customHeight="1" x14ac:dyDescent="0.3">
      <c r="A13" s="128" t="s">
        <v>142</v>
      </c>
      <c r="B13" s="10"/>
      <c r="C13" s="37">
        <v>1.7000000000000001E-4</v>
      </c>
      <c r="D13" s="38">
        <f t="shared" si="0"/>
        <v>0</v>
      </c>
      <c r="E13" s="37">
        <v>1.7000000000000001E-4</v>
      </c>
      <c r="F13" s="39">
        <f t="shared" si="1"/>
        <v>0</v>
      </c>
      <c r="G13" s="35">
        <v>2</v>
      </c>
      <c r="H13" s="35">
        <f t="shared" si="2"/>
        <v>0</v>
      </c>
      <c r="I13" s="35"/>
      <c r="J13" s="35"/>
      <c r="K13" s="23"/>
    </row>
    <row r="14" spans="1:13" ht="15.6" customHeight="1" x14ac:dyDescent="0.3">
      <c r="A14" s="128" t="s">
        <v>143</v>
      </c>
      <c r="B14" s="10"/>
      <c r="C14" s="37">
        <v>2.2000000000000001E-4</v>
      </c>
      <c r="D14" s="38">
        <f t="shared" si="0"/>
        <v>0</v>
      </c>
      <c r="E14" s="37">
        <v>2.2000000000000001E-4</v>
      </c>
      <c r="F14" s="39">
        <f>B14*E14</f>
        <v>0</v>
      </c>
      <c r="G14" s="35">
        <v>2</v>
      </c>
      <c r="H14" s="35">
        <f t="shared" si="2"/>
        <v>0</v>
      </c>
      <c r="I14" s="35">
        <v>0.05</v>
      </c>
      <c r="J14" s="35">
        <f>B14*I14</f>
        <v>0</v>
      </c>
      <c r="K14" s="23"/>
    </row>
    <row r="15" spans="1:13" ht="15.6" customHeight="1" x14ac:dyDescent="0.3">
      <c r="A15" s="129" t="s">
        <v>144</v>
      </c>
      <c r="B15" s="10"/>
      <c r="C15" s="37">
        <v>1.7000000000000001E-4</v>
      </c>
      <c r="D15" s="38">
        <f t="shared" si="0"/>
        <v>0</v>
      </c>
      <c r="E15" s="37">
        <v>1.7000000000000001E-4</v>
      </c>
      <c r="F15" s="39">
        <f t="shared" si="1"/>
        <v>0</v>
      </c>
      <c r="G15" s="35">
        <v>2</v>
      </c>
      <c r="H15" s="35">
        <f t="shared" si="2"/>
        <v>0</v>
      </c>
      <c r="I15" s="35"/>
      <c r="J15" s="35"/>
      <c r="K15" s="23"/>
    </row>
    <row r="16" spans="1:13" ht="15.6" customHeight="1" x14ac:dyDescent="0.3">
      <c r="A16" s="129" t="s">
        <v>147</v>
      </c>
      <c r="B16" s="10"/>
      <c r="C16" s="37">
        <v>1.7000000000000001E-4</v>
      </c>
      <c r="D16" s="38">
        <f t="shared" si="0"/>
        <v>0</v>
      </c>
      <c r="E16" s="37">
        <v>1.7000000000000001E-4</v>
      </c>
      <c r="F16" s="39">
        <f t="shared" si="1"/>
        <v>0</v>
      </c>
      <c r="G16" s="35">
        <v>2</v>
      </c>
      <c r="H16" s="35">
        <f t="shared" si="2"/>
        <v>0</v>
      </c>
      <c r="I16" s="35"/>
      <c r="J16" s="35"/>
      <c r="K16" s="23"/>
    </row>
    <row r="17" spans="1:29" ht="15.6" customHeight="1" x14ac:dyDescent="0.3">
      <c r="A17" s="128" t="s">
        <v>148</v>
      </c>
      <c r="B17" s="10"/>
      <c r="C17" s="37">
        <v>1.7000000000000001E-4</v>
      </c>
      <c r="D17" s="38">
        <f t="shared" si="0"/>
        <v>0</v>
      </c>
      <c r="E17" s="37">
        <v>3.5000000000000001E-3</v>
      </c>
      <c r="F17" s="39">
        <f t="shared" si="1"/>
        <v>0</v>
      </c>
      <c r="G17" s="35">
        <v>2</v>
      </c>
      <c r="H17" s="35">
        <f t="shared" si="2"/>
        <v>0</v>
      </c>
      <c r="I17" s="35"/>
      <c r="J17" s="35"/>
      <c r="K17" s="23"/>
    </row>
    <row r="18" spans="1:29" x14ac:dyDescent="0.3">
      <c r="A18" s="130" t="s">
        <v>149</v>
      </c>
      <c r="B18" s="10"/>
      <c r="C18" s="40">
        <v>1.7000000000000001E-4</v>
      </c>
      <c r="D18" s="41">
        <f t="shared" si="0"/>
        <v>0</v>
      </c>
      <c r="E18" s="40">
        <v>3.5000000000000001E-3</v>
      </c>
      <c r="F18" s="42">
        <f t="shared" si="1"/>
        <v>0</v>
      </c>
      <c r="G18" s="42">
        <v>2</v>
      </c>
      <c r="H18" s="35">
        <f t="shared" si="2"/>
        <v>0</v>
      </c>
      <c r="I18" s="35"/>
      <c r="J18" s="35"/>
      <c r="K18" s="21"/>
    </row>
    <row r="19" spans="1:29" ht="15.6" customHeight="1" x14ac:dyDescent="0.3">
      <c r="A19" s="154" t="s">
        <v>150</v>
      </c>
      <c r="B19" s="10"/>
      <c r="C19" s="43"/>
      <c r="D19" s="38"/>
      <c r="E19" s="44"/>
      <c r="F19" s="39"/>
      <c r="G19" s="39"/>
      <c r="H19" s="35"/>
      <c r="I19" s="35"/>
      <c r="J19" s="35"/>
      <c r="K19" s="25"/>
    </row>
    <row r="20" spans="1:29" ht="15.6" customHeight="1" x14ac:dyDescent="0.3">
      <c r="A20" s="131" t="s">
        <v>151</v>
      </c>
      <c r="B20" s="10"/>
      <c r="C20" s="37">
        <v>0</v>
      </c>
      <c r="D20" s="38">
        <f t="shared" si="0"/>
        <v>0</v>
      </c>
      <c r="E20" s="38">
        <v>0</v>
      </c>
      <c r="F20" s="39">
        <f t="shared" si="1"/>
        <v>0</v>
      </c>
      <c r="G20" s="39">
        <v>0</v>
      </c>
      <c r="H20" s="35">
        <f t="shared" si="2"/>
        <v>0</v>
      </c>
      <c r="I20" s="35"/>
      <c r="J20" s="35"/>
      <c r="K20" s="25"/>
    </row>
    <row r="21" spans="1:29" ht="15.6" customHeight="1" x14ac:dyDescent="0.3">
      <c r="A21" s="131" t="s">
        <v>213</v>
      </c>
      <c r="B21" s="10"/>
      <c r="C21" s="37">
        <v>0</v>
      </c>
      <c r="D21" s="38">
        <v>0</v>
      </c>
      <c r="E21" s="38">
        <v>0</v>
      </c>
      <c r="F21" s="39">
        <v>0</v>
      </c>
      <c r="G21" s="39">
        <v>0</v>
      </c>
      <c r="H21" s="35">
        <f t="shared" si="2"/>
        <v>0</v>
      </c>
      <c r="I21" s="35"/>
      <c r="J21" s="35"/>
      <c r="K21" s="25"/>
    </row>
    <row r="22" spans="1:29" ht="15.6" customHeight="1" x14ac:dyDescent="0.3">
      <c r="A22" s="131" t="s">
        <v>214</v>
      </c>
      <c r="B22" s="10"/>
      <c r="C22" s="45">
        <v>0</v>
      </c>
      <c r="D22" s="38">
        <f t="shared" si="0"/>
        <v>0</v>
      </c>
      <c r="E22" s="46">
        <v>0</v>
      </c>
      <c r="F22" s="39">
        <f t="shared" si="1"/>
        <v>0</v>
      </c>
      <c r="G22" s="39">
        <v>0</v>
      </c>
      <c r="H22" s="35">
        <f t="shared" si="2"/>
        <v>0</v>
      </c>
      <c r="I22" s="35"/>
      <c r="J22" s="35"/>
      <c r="K22" s="26"/>
    </row>
    <row r="23" spans="1:29" ht="15.6" customHeight="1" x14ac:dyDescent="0.3">
      <c r="A23" s="132" t="s">
        <v>215</v>
      </c>
      <c r="B23" s="10"/>
      <c r="C23" s="48">
        <v>6.0000000000000002E-5</v>
      </c>
      <c r="D23" s="38">
        <f t="shared" si="0"/>
        <v>0</v>
      </c>
      <c r="E23" s="47">
        <v>6.0000000000000002E-5</v>
      </c>
      <c r="F23" s="39">
        <f t="shared" si="1"/>
        <v>0</v>
      </c>
      <c r="G23" s="39">
        <v>0</v>
      </c>
      <c r="H23" s="35">
        <f t="shared" si="2"/>
        <v>0</v>
      </c>
      <c r="I23" s="35">
        <v>0.12</v>
      </c>
      <c r="J23" s="35">
        <f>B23*I23</f>
        <v>0</v>
      </c>
      <c r="K23" s="24"/>
    </row>
    <row r="24" spans="1:29" ht="15.6" customHeight="1" x14ac:dyDescent="0.3">
      <c r="A24" s="132" t="s">
        <v>216</v>
      </c>
      <c r="B24" s="10"/>
      <c r="C24" s="48">
        <v>6.0000000000000002E-5</v>
      </c>
      <c r="D24" s="38">
        <f t="shared" si="0"/>
        <v>0</v>
      </c>
      <c r="E24" s="47">
        <v>6.0000000000000002E-5</v>
      </c>
      <c r="F24" s="39">
        <f t="shared" si="1"/>
        <v>0</v>
      </c>
      <c r="G24" s="39">
        <v>0</v>
      </c>
      <c r="H24" s="35">
        <f t="shared" si="2"/>
        <v>0</v>
      </c>
      <c r="I24" s="35">
        <v>0.12</v>
      </c>
      <c r="J24" s="35">
        <f>B24*I24</f>
        <v>0</v>
      </c>
      <c r="K24" s="24"/>
    </row>
    <row r="25" spans="1:29" ht="15.6" customHeight="1" x14ac:dyDescent="0.3">
      <c r="A25" s="132" t="s">
        <v>152</v>
      </c>
      <c r="B25" s="10"/>
      <c r="C25" s="48">
        <v>6.0000000000000002E-5</v>
      </c>
      <c r="D25" s="38">
        <f t="shared" si="0"/>
        <v>0</v>
      </c>
      <c r="E25" s="47">
        <v>6.0000000000000002E-5</v>
      </c>
      <c r="F25" s="39">
        <f t="shared" si="1"/>
        <v>0</v>
      </c>
      <c r="G25" s="39">
        <v>0</v>
      </c>
      <c r="H25" s="35">
        <f t="shared" si="2"/>
        <v>0</v>
      </c>
      <c r="I25" s="35">
        <v>0.12</v>
      </c>
      <c r="J25" s="35">
        <f>B25*I25</f>
        <v>0</v>
      </c>
      <c r="K25" s="24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15.6" customHeight="1" x14ac:dyDescent="0.3">
      <c r="A26" s="155" t="s">
        <v>134</v>
      </c>
      <c r="B26" s="10"/>
      <c r="C26" s="48"/>
      <c r="D26" s="38"/>
      <c r="E26" s="47"/>
      <c r="F26" s="39"/>
      <c r="G26" s="39"/>
      <c r="H26" s="35"/>
      <c r="I26" s="35"/>
      <c r="J26" s="35"/>
      <c r="K26" s="24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ht="15.6" customHeight="1" x14ac:dyDescent="0.3">
      <c r="A27" s="128" t="s">
        <v>153</v>
      </c>
      <c r="B27" s="10"/>
      <c r="C27" s="37">
        <v>2.0000000000000001E-4</v>
      </c>
      <c r="D27" s="38">
        <f t="shared" si="0"/>
        <v>0</v>
      </c>
      <c r="E27" s="38">
        <v>2.0000000000000001E-4</v>
      </c>
      <c r="F27" s="39">
        <f t="shared" si="1"/>
        <v>0</v>
      </c>
      <c r="G27" s="39">
        <v>1</v>
      </c>
      <c r="H27" s="35">
        <f t="shared" si="2"/>
        <v>0</v>
      </c>
      <c r="I27" s="35"/>
      <c r="J27" s="35"/>
      <c r="K27" s="26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15.6" customHeight="1" x14ac:dyDescent="0.3">
      <c r="A28" s="128" t="s">
        <v>154</v>
      </c>
      <c r="B28" s="10"/>
      <c r="C28" s="37">
        <v>2.0000000000000001E-4</v>
      </c>
      <c r="D28" s="38">
        <f t="shared" si="0"/>
        <v>0</v>
      </c>
      <c r="E28" s="38">
        <v>2.0000000000000001E-4</v>
      </c>
      <c r="F28" s="39">
        <f t="shared" si="1"/>
        <v>0</v>
      </c>
      <c r="G28" s="39">
        <v>1</v>
      </c>
      <c r="H28" s="35">
        <f t="shared" si="2"/>
        <v>0</v>
      </c>
      <c r="I28" s="35"/>
      <c r="J28" s="35"/>
      <c r="K28" s="26"/>
    </row>
    <row r="29" spans="1:29" x14ac:dyDescent="0.3">
      <c r="A29" s="130" t="s">
        <v>155</v>
      </c>
      <c r="B29" s="10"/>
      <c r="C29" s="40">
        <v>2.0000000000000001E-4</v>
      </c>
      <c r="D29" s="41">
        <f t="shared" si="0"/>
        <v>0</v>
      </c>
      <c r="E29" s="41">
        <v>2.0000000000000001E-4</v>
      </c>
      <c r="F29" s="42">
        <f t="shared" si="1"/>
        <v>0</v>
      </c>
      <c r="G29" s="42">
        <v>1</v>
      </c>
      <c r="H29" s="35">
        <f t="shared" si="2"/>
        <v>0</v>
      </c>
      <c r="I29" s="35"/>
      <c r="J29" s="35"/>
      <c r="K29" s="21"/>
    </row>
    <row r="30" spans="1:29" x14ac:dyDescent="0.3">
      <c r="A30" s="130" t="s">
        <v>156</v>
      </c>
      <c r="B30" s="10"/>
      <c r="C30" s="40">
        <v>2.0000000000000001E-4</v>
      </c>
      <c r="D30" s="41">
        <f t="shared" si="0"/>
        <v>0</v>
      </c>
      <c r="E30" s="41">
        <v>2.0000000000000001E-4</v>
      </c>
      <c r="F30" s="42">
        <f t="shared" si="1"/>
        <v>0</v>
      </c>
      <c r="G30" s="42">
        <v>1</v>
      </c>
      <c r="H30" s="35">
        <f t="shared" si="2"/>
        <v>0</v>
      </c>
      <c r="I30" s="35"/>
      <c r="J30" s="35"/>
      <c r="K30" s="21"/>
    </row>
    <row r="31" spans="1:29" ht="15.6" customHeight="1" x14ac:dyDescent="0.3">
      <c r="A31" s="132" t="s">
        <v>157</v>
      </c>
      <c r="B31" s="10"/>
      <c r="C31" s="37">
        <v>2.0000000000000001E-4</v>
      </c>
      <c r="D31" s="38">
        <f t="shared" si="0"/>
        <v>0</v>
      </c>
      <c r="E31" s="38">
        <v>2.0000000000000001E-4</v>
      </c>
      <c r="F31" s="39">
        <f t="shared" si="1"/>
        <v>0</v>
      </c>
      <c r="G31" s="39">
        <v>1</v>
      </c>
      <c r="H31" s="35">
        <f t="shared" si="2"/>
        <v>0</v>
      </c>
      <c r="I31" s="35">
        <v>0.15</v>
      </c>
      <c r="J31" s="35">
        <f>B31*I31</f>
        <v>0</v>
      </c>
      <c r="K31" s="24"/>
    </row>
    <row r="32" spans="1:29" ht="15.6" customHeight="1" x14ac:dyDescent="0.3">
      <c r="A32" s="132" t="s">
        <v>158</v>
      </c>
      <c r="B32" s="10"/>
      <c r="C32" s="37">
        <v>2.0000000000000001E-4</v>
      </c>
      <c r="D32" s="38">
        <f t="shared" si="0"/>
        <v>0</v>
      </c>
      <c r="E32" s="38">
        <v>2.0000000000000001E-4</v>
      </c>
      <c r="F32" s="39">
        <f t="shared" si="1"/>
        <v>0</v>
      </c>
      <c r="G32" s="39">
        <v>1</v>
      </c>
      <c r="H32" s="35">
        <f t="shared" si="2"/>
        <v>0</v>
      </c>
      <c r="I32" s="35">
        <v>0.15</v>
      </c>
      <c r="J32" s="35">
        <f>B32*I32</f>
        <v>0</v>
      </c>
      <c r="K32" s="24"/>
    </row>
    <row r="33" spans="1:29" ht="15.6" customHeight="1" x14ac:dyDescent="0.3">
      <c r="A33" s="154" t="s">
        <v>135</v>
      </c>
      <c r="B33" s="10"/>
      <c r="C33" s="45"/>
      <c r="D33" s="38"/>
      <c r="E33" s="46"/>
      <c r="F33" s="39"/>
      <c r="G33" s="39"/>
      <c r="H33" s="35"/>
      <c r="I33" s="35"/>
      <c r="J33" s="35"/>
      <c r="K33" s="26"/>
    </row>
    <row r="34" spans="1:29" ht="15.6" customHeight="1" x14ac:dyDescent="0.3">
      <c r="A34" s="131" t="s">
        <v>159</v>
      </c>
      <c r="B34" s="10"/>
      <c r="C34" s="48">
        <v>2.0000000000000001E-4</v>
      </c>
      <c r="D34" s="38">
        <f t="shared" si="0"/>
        <v>0</v>
      </c>
      <c r="E34" s="47">
        <v>4.0000000000000001E-3</v>
      </c>
      <c r="F34" s="39">
        <f t="shared" si="1"/>
        <v>0</v>
      </c>
      <c r="G34" s="39">
        <v>1</v>
      </c>
      <c r="H34" s="35">
        <f t="shared" si="2"/>
        <v>0</v>
      </c>
      <c r="I34" s="35"/>
      <c r="J34" s="35"/>
      <c r="K34" s="24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ht="15.6" customHeight="1" x14ac:dyDescent="0.3">
      <c r="A35" s="131" t="s">
        <v>160</v>
      </c>
      <c r="B35" s="10"/>
      <c r="C35" s="48">
        <v>2.0000000000000001E-4</v>
      </c>
      <c r="D35" s="38">
        <f t="shared" si="0"/>
        <v>0</v>
      </c>
      <c r="E35" s="47">
        <v>4.0000000000000001E-3</v>
      </c>
      <c r="F35" s="39">
        <f t="shared" si="1"/>
        <v>0</v>
      </c>
      <c r="G35" s="39">
        <v>1</v>
      </c>
      <c r="H35" s="35">
        <f t="shared" si="2"/>
        <v>0</v>
      </c>
      <c r="I35" s="35"/>
      <c r="J35" s="35"/>
      <c r="K35" s="24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ht="15.6" customHeight="1" x14ac:dyDescent="0.3">
      <c r="A36" s="128"/>
      <c r="B36" s="10"/>
      <c r="C36" s="45"/>
      <c r="D36" s="38"/>
      <c r="E36" s="46"/>
      <c r="F36" s="39"/>
      <c r="G36" s="39"/>
      <c r="H36" s="35"/>
      <c r="I36" s="35"/>
      <c r="J36" s="35"/>
      <c r="K36" s="26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ht="15.6" customHeight="1" x14ac:dyDescent="0.3">
      <c r="A37" s="130" t="s">
        <v>161</v>
      </c>
      <c r="B37" s="10"/>
      <c r="C37" s="48">
        <v>2.0000000000000001E-4</v>
      </c>
      <c r="D37" s="38">
        <f t="shared" si="0"/>
        <v>0</v>
      </c>
      <c r="E37" s="46">
        <v>0.02</v>
      </c>
      <c r="F37" s="39">
        <f t="shared" si="1"/>
        <v>0</v>
      </c>
      <c r="G37" s="39">
        <v>1</v>
      </c>
      <c r="H37" s="35">
        <f t="shared" si="2"/>
        <v>0</v>
      </c>
      <c r="I37" s="35">
        <v>0.15</v>
      </c>
      <c r="J37" s="35">
        <f>B37*I37</f>
        <v>0</v>
      </c>
      <c r="K37" s="24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ht="15.6" customHeight="1" x14ac:dyDescent="0.3">
      <c r="A38" s="130" t="s">
        <v>162</v>
      </c>
      <c r="B38" s="10"/>
      <c r="C38" s="48">
        <v>2.0000000000000001E-4</v>
      </c>
      <c r="D38" s="38">
        <f t="shared" si="0"/>
        <v>0</v>
      </c>
      <c r="E38" s="46">
        <v>0.02</v>
      </c>
      <c r="F38" s="39">
        <f t="shared" si="1"/>
        <v>0</v>
      </c>
      <c r="G38" s="39">
        <v>1</v>
      </c>
      <c r="H38" s="35">
        <f t="shared" si="2"/>
        <v>0</v>
      </c>
      <c r="I38" s="35">
        <v>0.15</v>
      </c>
      <c r="J38" s="35">
        <f>B38*I38</f>
        <v>0</v>
      </c>
      <c r="K38" s="24"/>
    </row>
    <row r="39" spans="1:29" ht="15.6" customHeight="1" x14ac:dyDescent="0.3">
      <c r="A39" s="130" t="s">
        <v>163</v>
      </c>
      <c r="B39" s="10"/>
      <c r="C39" s="48">
        <v>2.0000000000000001E-4</v>
      </c>
      <c r="D39" s="38">
        <f t="shared" si="0"/>
        <v>0</v>
      </c>
      <c r="E39" s="46">
        <v>0.02</v>
      </c>
      <c r="F39" s="39">
        <f t="shared" si="1"/>
        <v>0</v>
      </c>
      <c r="G39" s="39">
        <v>1</v>
      </c>
      <c r="H39" s="35">
        <f t="shared" si="2"/>
        <v>0</v>
      </c>
      <c r="I39" s="35">
        <v>0.15</v>
      </c>
      <c r="J39" s="35">
        <f>B39*I39</f>
        <v>0</v>
      </c>
      <c r="K39" s="24"/>
    </row>
    <row r="40" spans="1:29" ht="15.6" customHeight="1" x14ac:dyDescent="0.3">
      <c r="A40" s="128" t="s">
        <v>164</v>
      </c>
      <c r="B40" s="10"/>
      <c r="C40" s="48">
        <v>2.0000000000000001E-4</v>
      </c>
      <c r="D40" s="38">
        <f t="shared" si="0"/>
        <v>0</v>
      </c>
      <c r="E40" s="46">
        <v>0.02</v>
      </c>
      <c r="F40" s="39">
        <f t="shared" si="1"/>
        <v>0</v>
      </c>
      <c r="G40" s="39">
        <v>1</v>
      </c>
      <c r="H40" s="35">
        <f t="shared" si="2"/>
        <v>0</v>
      </c>
      <c r="I40" s="35"/>
      <c r="J40" s="35"/>
      <c r="K40" s="26"/>
    </row>
    <row r="41" spans="1:29" ht="15.6" customHeight="1" x14ac:dyDescent="0.3">
      <c r="A41" s="128" t="s">
        <v>165</v>
      </c>
      <c r="B41" s="10"/>
      <c r="C41" s="48">
        <v>2.0000000000000001E-4</v>
      </c>
      <c r="D41" s="38">
        <f t="shared" si="0"/>
        <v>0</v>
      </c>
      <c r="E41" s="46">
        <v>0.02</v>
      </c>
      <c r="F41" s="39">
        <f t="shared" si="1"/>
        <v>0</v>
      </c>
      <c r="G41" s="39">
        <v>1</v>
      </c>
      <c r="H41" s="35">
        <f t="shared" si="2"/>
        <v>0</v>
      </c>
      <c r="I41" s="35"/>
      <c r="J41" s="35"/>
      <c r="K41" s="26"/>
    </row>
    <row r="42" spans="1:29" ht="15.6" customHeight="1" x14ac:dyDescent="0.3">
      <c r="A42" s="128" t="s">
        <v>166</v>
      </c>
      <c r="B42" s="10"/>
      <c r="C42" s="48">
        <v>2.0000000000000001E-4</v>
      </c>
      <c r="D42" s="38">
        <f t="shared" si="0"/>
        <v>0</v>
      </c>
      <c r="E42" s="46">
        <v>0.02</v>
      </c>
      <c r="F42" s="39">
        <f t="shared" si="1"/>
        <v>0</v>
      </c>
      <c r="G42" s="39">
        <v>1</v>
      </c>
      <c r="H42" s="35">
        <f t="shared" si="2"/>
        <v>0</v>
      </c>
      <c r="I42" s="35"/>
      <c r="J42" s="35"/>
      <c r="K42" s="26"/>
    </row>
    <row r="43" spans="1:29" ht="15.6" customHeight="1" x14ac:dyDescent="0.3">
      <c r="A43" s="133"/>
      <c r="B43" s="10"/>
      <c r="C43" s="45"/>
      <c r="D43" s="38"/>
      <c r="E43" s="46"/>
      <c r="F43" s="39"/>
      <c r="G43" s="39"/>
      <c r="H43" s="35"/>
      <c r="I43" s="35"/>
      <c r="J43" s="35"/>
      <c r="K43" s="26"/>
    </row>
    <row r="44" spans="1:29" ht="15.6" customHeight="1" x14ac:dyDescent="0.3">
      <c r="A44" s="128" t="s">
        <v>167</v>
      </c>
      <c r="B44" s="10"/>
      <c r="C44" s="45">
        <v>2.0000000000000001E-4</v>
      </c>
      <c r="D44" s="38">
        <f t="shared" si="0"/>
        <v>0</v>
      </c>
      <c r="E44" s="46">
        <v>9.4999999999999998E-3</v>
      </c>
      <c r="F44" s="39">
        <f t="shared" si="1"/>
        <v>0</v>
      </c>
      <c r="G44" s="39">
        <v>2</v>
      </c>
      <c r="H44" s="35">
        <f t="shared" si="2"/>
        <v>0</v>
      </c>
      <c r="I44" s="35"/>
      <c r="J44" s="35"/>
      <c r="K44" s="26"/>
    </row>
    <row r="45" spans="1:29" ht="15.6" customHeight="1" x14ac:dyDescent="0.3">
      <c r="A45" s="128" t="s">
        <v>168</v>
      </c>
      <c r="B45" s="10"/>
      <c r="C45" s="48">
        <v>2.0000000000000001E-4</v>
      </c>
      <c r="D45" s="38">
        <f t="shared" si="0"/>
        <v>0</v>
      </c>
      <c r="E45" s="47">
        <v>1.4E-2</v>
      </c>
      <c r="F45" s="39">
        <f t="shared" si="1"/>
        <v>0</v>
      </c>
      <c r="G45" s="39">
        <v>2</v>
      </c>
      <c r="H45" s="35">
        <f t="shared" si="2"/>
        <v>0</v>
      </c>
      <c r="I45" s="35"/>
      <c r="J45" s="35"/>
      <c r="K45" s="26"/>
    </row>
    <row r="46" spans="1:29" ht="15.6" customHeight="1" x14ac:dyDescent="0.3">
      <c r="A46" s="128" t="s">
        <v>169</v>
      </c>
      <c r="B46" s="10"/>
      <c r="C46" s="48">
        <v>2.0000000000000001E-4</v>
      </c>
      <c r="D46" s="38">
        <f t="shared" si="0"/>
        <v>0</v>
      </c>
      <c r="E46" s="47">
        <v>9.4999999999999998E-3</v>
      </c>
      <c r="F46" s="39">
        <f t="shared" si="1"/>
        <v>0</v>
      </c>
      <c r="G46" s="39">
        <v>2</v>
      </c>
      <c r="H46" s="35">
        <f t="shared" si="2"/>
        <v>0</v>
      </c>
      <c r="I46" s="35"/>
      <c r="J46" s="35"/>
      <c r="K46" s="26"/>
    </row>
    <row r="47" spans="1:29" ht="15.6" customHeight="1" x14ac:dyDescent="0.3">
      <c r="A47" s="128" t="s">
        <v>170</v>
      </c>
      <c r="B47" s="10"/>
      <c r="C47" s="48">
        <v>2.0000000000000001E-4</v>
      </c>
      <c r="D47" s="38">
        <f t="shared" si="0"/>
        <v>0</v>
      </c>
      <c r="E47" s="47">
        <v>1.4E-2</v>
      </c>
      <c r="F47" s="39">
        <f t="shared" si="1"/>
        <v>0</v>
      </c>
      <c r="G47" s="39">
        <v>2</v>
      </c>
      <c r="H47" s="35">
        <f t="shared" si="2"/>
        <v>0</v>
      </c>
      <c r="I47" s="35"/>
      <c r="J47" s="35"/>
      <c r="K47" s="26"/>
    </row>
    <row r="48" spans="1:29" ht="15.6" customHeight="1" x14ac:dyDescent="0.3">
      <c r="A48" s="128" t="s">
        <v>171</v>
      </c>
      <c r="B48" s="10"/>
      <c r="C48" s="45">
        <v>0</v>
      </c>
      <c r="D48" s="38">
        <f t="shared" si="0"/>
        <v>0</v>
      </c>
      <c r="E48" s="47">
        <v>6.1999999999999998E-3</v>
      </c>
      <c r="F48" s="39">
        <f t="shared" si="1"/>
        <v>0</v>
      </c>
      <c r="G48" s="39">
        <v>0</v>
      </c>
      <c r="H48" s="35">
        <f t="shared" si="2"/>
        <v>0</v>
      </c>
      <c r="I48" s="35"/>
      <c r="J48" s="35"/>
      <c r="K48" s="28"/>
    </row>
    <row r="49" spans="1:29" x14ac:dyDescent="0.3">
      <c r="A49" s="130" t="s">
        <v>172</v>
      </c>
      <c r="B49" s="10"/>
      <c r="C49" s="49">
        <v>0</v>
      </c>
      <c r="D49" s="41">
        <v>0</v>
      </c>
      <c r="E49" s="35">
        <v>8.9999999999999993E-3</v>
      </c>
      <c r="F49" s="42">
        <f t="shared" si="1"/>
        <v>0</v>
      </c>
      <c r="G49" s="42">
        <v>0</v>
      </c>
      <c r="H49" s="35">
        <f t="shared" si="2"/>
        <v>0</v>
      </c>
      <c r="I49" s="35"/>
      <c r="J49" s="35"/>
      <c r="K49" s="29"/>
    </row>
    <row r="50" spans="1:29" ht="15.6" customHeight="1" x14ac:dyDescent="0.3">
      <c r="A50" s="131" t="s">
        <v>173</v>
      </c>
      <c r="B50" s="10"/>
      <c r="C50" s="50">
        <v>1E-4</v>
      </c>
      <c r="D50" s="38">
        <f t="shared" si="0"/>
        <v>0</v>
      </c>
      <c r="E50" s="38">
        <v>2.0000000000000001E-4</v>
      </c>
      <c r="F50" s="39">
        <f t="shared" si="1"/>
        <v>0</v>
      </c>
      <c r="G50" s="39">
        <v>0</v>
      </c>
      <c r="H50" s="35">
        <f t="shared" si="2"/>
        <v>0</v>
      </c>
      <c r="I50" s="35"/>
      <c r="J50" s="35"/>
      <c r="K50" s="28"/>
      <c r="AC50" s="16"/>
    </row>
    <row r="51" spans="1:29" ht="15.6" customHeight="1" x14ac:dyDescent="0.3">
      <c r="A51" s="155" t="s">
        <v>136</v>
      </c>
      <c r="B51" s="10"/>
      <c r="C51" s="50"/>
      <c r="D51" s="38"/>
      <c r="E51" s="38"/>
      <c r="F51" s="39"/>
      <c r="G51" s="39"/>
      <c r="H51" s="35"/>
      <c r="I51" s="35"/>
      <c r="J51" s="35"/>
      <c r="K51" s="28"/>
      <c r="AC51" s="16"/>
    </row>
    <row r="52" spans="1:29" ht="15.6" customHeight="1" x14ac:dyDescent="0.3">
      <c r="A52" s="128" t="s">
        <v>174</v>
      </c>
      <c r="B52" s="10"/>
      <c r="C52" s="45">
        <v>2.1000000000000001E-4</v>
      </c>
      <c r="D52" s="38">
        <f t="shared" si="0"/>
        <v>0</v>
      </c>
      <c r="E52" s="47">
        <v>2.5000000000000001E-3</v>
      </c>
      <c r="F52" s="39">
        <f t="shared" si="1"/>
        <v>0</v>
      </c>
      <c r="G52" s="39">
        <v>1</v>
      </c>
      <c r="H52" s="35">
        <f t="shared" si="2"/>
        <v>0</v>
      </c>
      <c r="I52" s="35"/>
      <c r="J52" s="35"/>
      <c r="K52" s="26"/>
      <c r="AC52" s="16"/>
    </row>
    <row r="53" spans="1:29" ht="15.6" customHeight="1" x14ac:dyDescent="0.3">
      <c r="A53" s="128" t="s">
        <v>175</v>
      </c>
      <c r="B53" s="10"/>
      <c r="C53" s="45">
        <v>2.1000000000000001E-4</v>
      </c>
      <c r="D53" s="38">
        <f t="shared" si="0"/>
        <v>0</v>
      </c>
      <c r="E53" s="46">
        <v>2.5000000000000001E-3</v>
      </c>
      <c r="F53" s="39">
        <f t="shared" si="1"/>
        <v>0</v>
      </c>
      <c r="G53" s="39">
        <v>2</v>
      </c>
      <c r="H53" s="35">
        <f t="shared" si="2"/>
        <v>0</v>
      </c>
      <c r="I53" s="35"/>
      <c r="J53" s="35"/>
      <c r="K53" s="26"/>
    </row>
    <row r="54" spans="1:29" ht="15.6" customHeight="1" x14ac:dyDescent="0.3">
      <c r="A54" s="128" t="s">
        <v>176</v>
      </c>
      <c r="B54" s="10"/>
      <c r="C54" s="45">
        <v>2.1499999999999999E-4</v>
      </c>
      <c r="D54" s="38">
        <f t="shared" si="0"/>
        <v>0</v>
      </c>
      <c r="E54" s="47">
        <v>2.3500000000000001E-3</v>
      </c>
      <c r="F54" s="39">
        <f t="shared" si="1"/>
        <v>0</v>
      </c>
      <c r="G54" s="39">
        <v>2</v>
      </c>
      <c r="H54" s="35">
        <f t="shared" si="2"/>
        <v>0</v>
      </c>
      <c r="I54" s="35"/>
      <c r="J54" s="35"/>
      <c r="K54" s="26"/>
    </row>
    <row r="55" spans="1:29" ht="15.6" customHeight="1" x14ac:dyDescent="0.3">
      <c r="A55" s="128" t="s">
        <v>177</v>
      </c>
      <c r="B55" s="10"/>
      <c r="C55" s="45">
        <v>3.7500000000000001E-4</v>
      </c>
      <c r="D55" s="38">
        <f t="shared" si="0"/>
        <v>0</v>
      </c>
      <c r="E55" s="47">
        <v>2.5999999999999999E-3</v>
      </c>
      <c r="F55" s="39">
        <f t="shared" si="1"/>
        <v>0</v>
      </c>
      <c r="G55" s="39">
        <v>1</v>
      </c>
      <c r="H55" s="35">
        <f t="shared" si="2"/>
        <v>0</v>
      </c>
      <c r="I55" s="35"/>
      <c r="J55" s="35"/>
      <c r="K55" s="26"/>
    </row>
    <row r="56" spans="1:29" ht="15.6" customHeight="1" x14ac:dyDescent="0.3">
      <c r="A56" s="128" t="s">
        <v>178</v>
      </c>
      <c r="B56" s="10"/>
      <c r="C56" s="45">
        <v>2.2499999999999999E-4</v>
      </c>
      <c r="D56" s="38">
        <f t="shared" si="0"/>
        <v>0</v>
      </c>
      <c r="E56" s="46">
        <v>2.7499999999999998E-3</v>
      </c>
      <c r="F56" s="39">
        <f t="shared" si="1"/>
        <v>0</v>
      </c>
      <c r="G56" s="39">
        <v>2</v>
      </c>
      <c r="H56" s="35">
        <f t="shared" si="2"/>
        <v>0</v>
      </c>
      <c r="I56" s="39"/>
      <c r="J56" s="39"/>
      <c r="K56" s="27"/>
    </row>
    <row r="57" spans="1:29" ht="15.6" customHeight="1" x14ac:dyDescent="0.3">
      <c r="A57" s="128" t="s">
        <v>179</v>
      </c>
      <c r="B57" s="10"/>
      <c r="C57" s="45">
        <v>5.3E-3</v>
      </c>
      <c r="D57" s="38">
        <f t="shared" si="0"/>
        <v>0</v>
      </c>
      <c r="E57" s="46">
        <v>2.7499999999999998E-3</v>
      </c>
      <c r="F57" s="39">
        <f t="shared" si="1"/>
        <v>0</v>
      </c>
      <c r="G57" s="39">
        <v>1</v>
      </c>
      <c r="H57" s="35">
        <f t="shared" si="2"/>
        <v>0</v>
      </c>
      <c r="I57" s="39"/>
      <c r="J57" s="39"/>
      <c r="K57" s="27"/>
    </row>
    <row r="58" spans="1:29" ht="15.6" customHeight="1" x14ac:dyDescent="0.3">
      <c r="A58" s="128" t="s">
        <v>180</v>
      </c>
      <c r="B58" s="10"/>
      <c r="C58" s="45">
        <v>0</v>
      </c>
      <c r="D58" s="38">
        <f t="shared" si="0"/>
        <v>0</v>
      </c>
      <c r="E58" s="46"/>
      <c r="F58" s="39">
        <f t="shared" si="1"/>
        <v>0</v>
      </c>
      <c r="G58" s="39">
        <v>0</v>
      </c>
      <c r="H58" s="35">
        <f t="shared" si="2"/>
        <v>0</v>
      </c>
      <c r="I58" s="35"/>
      <c r="J58" s="35"/>
      <c r="K58" s="27"/>
    </row>
    <row r="59" spans="1:29" ht="15.6" customHeight="1" x14ac:dyDescent="0.3">
      <c r="A59" s="134" t="s">
        <v>181</v>
      </c>
      <c r="B59" s="10"/>
      <c r="C59" s="45">
        <v>4.6000000000000001E-4</v>
      </c>
      <c r="D59" s="38">
        <f t="shared" si="0"/>
        <v>0</v>
      </c>
      <c r="E59" s="46">
        <v>4.6000000000000001E-4</v>
      </c>
      <c r="F59" s="39">
        <f t="shared" si="1"/>
        <v>0</v>
      </c>
      <c r="G59" s="39">
        <v>1</v>
      </c>
      <c r="H59" s="35">
        <f t="shared" si="2"/>
        <v>0</v>
      </c>
      <c r="I59" s="39"/>
      <c r="J59" s="39"/>
      <c r="K59" s="27"/>
    </row>
    <row r="60" spans="1:29" x14ac:dyDescent="0.3">
      <c r="A60" s="130" t="s">
        <v>182</v>
      </c>
      <c r="B60" s="10"/>
      <c r="C60" s="49">
        <v>7.2000000000000005E-4</v>
      </c>
      <c r="D60" s="41">
        <f t="shared" si="0"/>
        <v>0</v>
      </c>
      <c r="E60" s="35">
        <v>5.4999999999999997E-3</v>
      </c>
      <c r="F60" s="42">
        <f t="shared" si="1"/>
        <v>0</v>
      </c>
      <c r="G60" s="42">
        <v>1</v>
      </c>
      <c r="H60" s="35">
        <f t="shared" si="2"/>
        <v>0</v>
      </c>
      <c r="I60" s="35"/>
      <c r="J60" s="35"/>
      <c r="K60" s="21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x14ac:dyDescent="0.3">
      <c r="A61" s="130" t="s">
        <v>183</v>
      </c>
      <c r="B61" s="10"/>
      <c r="C61" s="49">
        <v>7.2000000000000005E-4</v>
      </c>
      <c r="D61" s="41">
        <f t="shared" si="0"/>
        <v>0</v>
      </c>
      <c r="E61" s="35">
        <v>5.4999999999999997E-3</v>
      </c>
      <c r="F61" s="42">
        <f t="shared" si="1"/>
        <v>0</v>
      </c>
      <c r="G61" s="42">
        <v>2</v>
      </c>
      <c r="H61" s="35">
        <f t="shared" si="2"/>
        <v>0</v>
      </c>
      <c r="I61" s="35"/>
      <c r="J61" s="35"/>
      <c r="K61" s="21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x14ac:dyDescent="0.3">
      <c r="A62" s="130" t="s">
        <v>184</v>
      </c>
      <c r="B62" s="10"/>
      <c r="C62" s="49">
        <v>7.2000000000000005E-4</v>
      </c>
      <c r="D62" s="41">
        <f t="shared" si="0"/>
        <v>0</v>
      </c>
      <c r="E62" s="35">
        <v>5.4999999999999997E-3</v>
      </c>
      <c r="F62" s="42">
        <f t="shared" si="1"/>
        <v>0</v>
      </c>
      <c r="G62" s="42">
        <v>3</v>
      </c>
      <c r="H62" s="35">
        <f t="shared" si="2"/>
        <v>0</v>
      </c>
      <c r="I62" s="35">
        <v>0.15</v>
      </c>
      <c r="J62" s="35">
        <f t="shared" ref="J62:J69" si="3">B62*I62</f>
        <v>0</v>
      </c>
      <c r="K62" s="21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 x14ac:dyDescent="0.3">
      <c r="A63" s="130" t="s">
        <v>185</v>
      </c>
      <c r="B63" s="10"/>
      <c r="C63" s="49">
        <v>8.5999999999999998E-4</v>
      </c>
      <c r="D63" s="41">
        <f t="shared" si="0"/>
        <v>0</v>
      </c>
      <c r="E63" s="35">
        <v>8.3000000000000001E-3</v>
      </c>
      <c r="F63" s="42">
        <f t="shared" si="1"/>
        <v>0</v>
      </c>
      <c r="G63" s="42">
        <v>6</v>
      </c>
      <c r="H63" s="35">
        <f t="shared" si="2"/>
        <v>0</v>
      </c>
      <c r="I63" s="35">
        <v>0.15</v>
      </c>
      <c r="J63" s="35">
        <f t="shared" si="3"/>
        <v>0</v>
      </c>
      <c r="K63" s="21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x14ac:dyDescent="0.3">
      <c r="A64" s="130" t="s">
        <v>187</v>
      </c>
      <c r="B64" s="10"/>
      <c r="C64" s="49">
        <v>6.3000000000000003E-4</v>
      </c>
      <c r="D64" s="41">
        <f t="shared" si="0"/>
        <v>0</v>
      </c>
      <c r="E64" s="35">
        <v>7.7999999999999996E-3</v>
      </c>
      <c r="F64" s="42">
        <f t="shared" si="1"/>
        <v>0</v>
      </c>
      <c r="G64" s="42">
        <v>3</v>
      </c>
      <c r="H64" s="35">
        <f t="shared" si="2"/>
        <v>0</v>
      </c>
      <c r="I64" s="35">
        <v>0.15</v>
      </c>
      <c r="J64" s="35">
        <f t="shared" si="3"/>
        <v>0</v>
      </c>
      <c r="K64" s="21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 x14ac:dyDescent="0.3">
      <c r="A65" s="130" t="s">
        <v>188</v>
      </c>
      <c r="B65" s="10"/>
      <c r="C65" s="49">
        <v>7.3999999999999999E-4</v>
      </c>
      <c r="D65" s="41">
        <f t="shared" si="0"/>
        <v>0</v>
      </c>
      <c r="E65" s="35">
        <v>3.0999999999999999E-3</v>
      </c>
      <c r="F65" s="42">
        <f t="shared" si="1"/>
        <v>0</v>
      </c>
      <c r="G65" s="42">
        <v>2</v>
      </c>
      <c r="H65" s="35">
        <f t="shared" si="2"/>
        <v>0</v>
      </c>
      <c r="I65" s="35">
        <v>0.15</v>
      </c>
      <c r="J65" s="35">
        <f t="shared" si="3"/>
        <v>0</v>
      </c>
      <c r="K65" s="21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x14ac:dyDescent="0.3">
      <c r="A66" s="130" t="s">
        <v>189</v>
      </c>
      <c r="B66" s="10"/>
      <c r="C66" s="49">
        <v>1.0500000000000001E-2</v>
      </c>
      <c r="D66" s="41">
        <f t="shared" si="0"/>
        <v>0</v>
      </c>
      <c r="E66" s="35">
        <v>1.0500000000000001E-2</v>
      </c>
      <c r="F66" s="42">
        <f t="shared" si="1"/>
        <v>0</v>
      </c>
      <c r="G66" s="42">
        <v>2</v>
      </c>
      <c r="H66" s="35">
        <f t="shared" si="2"/>
        <v>0</v>
      </c>
      <c r="I66" s="35">
        <v>0.15</v>
      </c>
      <c r="J66" s="35">
        <f t="shared" si="3"/>
        <v>0</v>
      </c>
      <c r="K66" s="21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x14ac:dyDescent="0.3">
      <c r="A67" s="130" t="s">
        <v>190</v>
      </c>
      <c r="B67" s="10"/>
      <c r="C67" s="49">
        <v>3.3500000000000001E-3</v>
      </c>
      <c r="D67" s="41">
        <f t="shared" si="0"/>
        <v>0</v>
      </c>
      <c r="E67" s="35">
        <v>3.3500000000000001E-3</v>
      </c>
      <c r="F67" s="42">
        <f t="shared" si="1"/>
        <v>0</v>
      </c>
      <c r="G67" s="42">
        <v>1</v>
      </c>
      <c r="H67" s="35">
        <f t="shared" si="2"/>
        <v>0</v>
      </c>
      <c r="I67" s="35">
        <v>0.15</v>
      </c>
      <c r="J67" s="35">
        <f t="shared" si="3"/>
        <v>0</v>
      </c>
      <c r="K67" s="21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:29" x14ac:dyDescent="0.3">
      <c r="A68" s="130" t="s">
        <v>217</v>
      </c>
      <c r="B68" s="10">
        <v>0</v>
      </c>
      <c r="C68" s="49">
        <v>0</v>
      </c>
      <c r="D68" s="41">
        <f t="shared" si="0"/>
        <v>0</v>
      </c>
      <c r="E68" s="35">
        <v>2.4500000000000001E-2</v>
      </c>
      <c r="F68" s="42">
        <f>IF(B68=0,(B66+B67)*E68,B68*E68)</f>
        <v>0</v>
      </c>
      <c r="G68" s="42"/>
      <c r="H68" s="35"/>
      <c r="I68" s="35"/>
      <c r="J68" s="35"/>
      <c r="K68" s="21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x14ac:dyDescent="0.3">
      <c r="A69" s="130" t="s">
        <v>191</v>
      </c>
      <c r="B69" s="10"/>
      <c r="C69" s="49">
        <v>6.8999999999999997E-4</v>
      </c>
      <c r="D69" s="41">
        <f t="shared" si="0"/>
        <v>0</v>
      </c>
      <c r="E69" s="35">
        <v>3.3E-3</v>
      </c>
      <c r="F69" s="42">
        <f t="shared" si="1"/>
        <v>0</v>
      </c>
      <c r="G69" s="42">
        <v>1</v>
      </c>
      <c r="H69" s="35">
        <f t="shared" si="2"/>
        <v>0</v>
      </c>
      <c r="I69" s="35">
        <v>0.15</v>
      </c>
      <c r="J69" s="35">
        <f t="shared" si="3"/>
        <v>0</v>
      </c>
      <c r="K69" s="21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ht="15.6" customHeight="1" x14ac:dyDescent="0.3">
      <c r="A70" s="154" t="s">
        <v>137</v>
      </c>
      <c r="B70" s="10"/>
      <c r="C70" s="45"/>
      <c r="D70" s="38"/>
      <c r="E70" s="46"/>
      <c r="F70" s="39"/>
      <c r="G70" s="39"/>
      <c r="H70" s="35"/>
      <c r="I70" s="35"/>
      <c r="J70" s="35"/>
      <c r="K70" s="2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ht="15.6" customHeight="1" x14ac:dyDescent="0.3">
      <c r="A71" s="128" t="s">
        <v>192</v>
      </c>
      <c r="B71" s="10"/>
      <c r="C71" s="45">
        <v>4.6000000000000001E-4</v>
      </c>
      <c r="D71" s="38">
        <f t="shared" ref="D71:D75" si="4">B71*C71</f>
        <v>0</v>
      </c>
      <c r="E71" s="46">
        <v>4.6000000000000001E-4</v>
      </c>
      <c r="F71" s="39">
        <f t="shared" ref="F71:F75" si="5">B71*E71</f>
        <v>0</v>
      </c>
      <c r="G71" s="39">
        <v>1</v>
      </c>
      <c r="H71" s="35">
        <f>B71*G71</f>
        <v>0</v>
      </c>
      <c r="I71" s="35"/>
      <c r="J71" s="35"/>
      <c r="K71" s="26"/>
    </row>
    <row r="72" spans="1:29" ht="15.6" customHeight="1" x14ac:dyDescent="0.3">
      <c r="A72" s="128" t="s">
        <v>193</v>
      </c>
      <c r="B72" s="10"/>
      <c r="C72" s="45">
        <v>9.2000000000000003E-4</v>
      </c>
      <c r="D72" s="38">
        <f t="shared" si="4"/>
        <v>0</v>
      </c>
      <c r="E72" s="46">
        <v>9.2000000000000003E-4</v>
      </c>
      <c r="F72" s="39">
        <f t="shared" si="5"/>
        <v>0</v>
      </c>
      <c r="G72" s="39">
        <v>2</v>
      </c>
      <c r="H72" s="35">
        <f>B72*G72</f>
        <v>0</v>
      </c>
      <c r="I72" s="35"/>
      <c r="J72" s="35"/>
      <c r="K72" s="26"/>
    </row>
    <row r="73" spans="1:29" ht="15.6" customHeight="1" x14ac:dyDescent="0.3">
      <c r="A73" s="128" t="s">
        <v>194</v>
      </c>
      <c r="B73" s="10"/>
      <c r="C73" s="45">
        <v>4.0000000000000001E-3</v>
      </c>
      <c r="D73" s="38">
        <f t="shared" si="4"/>
        <v>0</v>
      </c>
      <c r="E73" s="46">
        <v>4.0000000000000001E-3</v>
      </c>
      <c r="F73" s="39">
        <f t="shared" si="5"/>
        <v>0</v>
      </c>
      <c r="G73" s="39">
        <v>1</v>
      </c>
      <c r="H73" s="35">
        <f>B73*G73</f>
        <v>0</v>
      </c>
      <c r="I73" s="35"/>
      <c r="J73" s="35"/>
      <c r="K73" s="26"/>
    </row>
    <row r="74" spans="1:29" ht="15.6" customHeight="1" x14ac:dyDescent="0.3">
      <c r="A74" s="128" t="s">
        <v>218</v>
      </c>
      <c r="B74" s="10"/>
      <c r="C74" s="45">
        <v>4.1999999999999997E-3</v>
      </c>
      <c r="D74" s="38">
        <f t="shared" si="4"/>
        <v>0</v>
      </c>
      <c r="E74" s="46">
        <v>4.1999999999999997E-3</v>
      </c>
      <c r="F74" s="39">
        <f t="shared" si="5"/>
        <v>0</v>
      </c>
      <c r="G74" s="39">
        <v>1</v>
      </c>
      <c r="H74" s="35">
        <f>B74*G74</f>
        <v>0</v>
      </c>
      <c r="I74" s="35">
        <v>0.15</v>
      </c>
      <c r="J74" s="35">
        <f t="shared" ref="J74" si="6">B74*I74</f>
        <v>0</v>
      </c>
      <c r="K74" s="26"/>
    </row>
    <row r="75" spans="1:29" ht="15.6" customHeight="1" x14ac:dyDescent="0.3">
      <c r="A75" s="128" t="s">
        <v>195</v>
      </c>
      <c r="B75" s="10"/>
      <c r="C75" s="45">
        <v>0</v>
      </c>
      <c r="D75" s="38">
        <f t="shared" si="4"/>
        <v>0</v>
      </c>
      <c r="E75" s="46">
        <v>2E-3</v>
      </c>
      <c r="F75" s="39">
        <f t="shared" si="5"/>
        <v>0</v>
      </c>
      <c r="G75" s="39">
        <v>0</v>
      </c>
      <c r="H75" s="35">
        <f>B75*G75</f>
        <v>0</v>
      </c>
      <c r="I75" s="35"/>
      <c r="J75" s="35"/>
      <c r="K75" s="26"/>
    </row>
    <row r="76" spans="1:29" ht="15.6" customHeight="1" x14ac:dyDescent="0.3">
      <c r="A76" s="128"/>
      <c r="B76" s="10"/>
      <c r="C76" s="45"/>
      <c r="D76" s="46"/>
      <c r="E76" s="46"/>
      <c r="F76" s="46"/>
      <c r="G76" s="46"/>
      <c r="H76" s="46"/>
      <c r="I76" s="46"/>
      <c r="J76" s="46"/>
      <c r="K76" s="26"/>
    </row>
    <row r="77" spans="1:29" ht="15.6" customHeight="1" x14ac:dyDescent="0.3">
      <c r="A77" s="128" t="s">
        <v>7</v>
      </c>
      <c r="B77" s="10">
        <f>SUM(B7:B18,B27:B33,B34:B42,B44:B47,B52:B67,B69:B74)</f>
        <v>0</v>
      </c>
      <c r="C77" s="126" t="s">
        <v>8</v>
      </c>
      <c r="D77" s="46">
        <f>SUM(D7:D76)</f>
        <v>0</v>
      </c>
      <c r="E77" s="127" t="s">
        <v>9</v>
      </c>
      <c r="F77" s="46">
        <f>SUM(F5:F76)</f>
        <v>2.5000000000000001E-2</v>
      </c>
      <c r="G77" s="127" t="s">
        <v>38</v>
      </c>
      <c r="H77" s="46">
        <f>SUM(H7:H75)</f>
        <v>0</v>
      </c>
      <c r="I77" s="127" t="s">
        <v>186</v>
      </c>
      <c r="J77" s="46">
        <f>SUM(J7:J76)</f>
        <v>0</v>
      </c>
      <c r="K77" s="28"/>
    </row>
    <row r="78" spans="1:29" ht="16.2" thickBot="1" x14ac:dyDescent="0.35">
      <c r="A78" s="30" t="s">
        <v>197</v>
      </c>
      <c r="B78" s="15"/>
      <c r="C78" s="15" t="s">
        <v>208</v>
      </c>
      <c r="D78" s="15"/>
      <c r="E78" s="15"/>
      <c r="F78" s="15"/>
      <c r="G78" s="15"/>
      <c r="H78" s="15"/>
      <c r="I78" s="15"/>
      <c r="J78" s="15"/>
      <c r="K78" s="30"/>
    </row>
    <row r="79" spans="1:29" ht="16.8" thickTop="1" thickBot="1" x14ac:dyDescent="0.35">
      <c r="A79" s="156" t="s">
        <v>201</v>
      </c>
      <c r="C79" s="19">
        <f>VLOOKUP(A79,Sheet2!A:B,2,FALSE)</f>
        <v>3</v>
      </c>
      <c r="D79" s="16"/>
      <c r="E79" s="16"/>
      <c r="F79" s="53" t="str">
        <f>IF(F77&lt;0.4,"Load ok","above 80% load")</f>
        <v>Load ok</v>
      </c>
      <c r="G79" s="16"/>
      <c r="H79" s="16"/>
      <c r="I79" s="16"/>
      <c r="J79" s="16"/>
    </row>
    <row r="80" spans="1:29" ht="16.2" thickBot="1" x14ac:dyDescent="0.35">
      <c r="A80" s="19" t="s">
        <v>18</v>
      </c>
      <c r="C80" s="16" t="s">
        <v>39</v>
      </c>
      <c r="D80" s="16"/>
      <c r="E80" s="16"/>
      <c r="F80" s="16"/>
      <c r="G80" s="16"/>
      <c r="H80" s="16"/>
      <c r="I80" s="16"/>
      <c r="J80" s="16"/>
    </row>
    <row r="81" spans="1:3" ht="16.2" thickBot="1" x14ac:dyDescent="0.35">
      <c r="A81" s="17" t="s">
        <v>20</v>
      </c>
      <c r="C81" s="19">
        <f>VLOOKUP(A81,Sheet2!A:B,2,FALSE)</f>
        <v>12.5</v>
      </c>
    </row>
    <row r="82" spans="1:3" ht="16.2" thickBot="1" x14ac:dyDescent="0.35">
      <c r="A82" s="19" t="s">
        <v>120</v>
      </c>
    </row>
    <row r="83" spans="1:3" ht="16.2" thickBot="1" x14ac:dyDescent="0.35">
      <c r="A83" s="17">
        <v>2000</v>
      </c>
    </row>
    <row r="84" spans="1:3" ht="16.2" thickBot="1" x14ac:dyDescent="0.35">
      <c r="A84" s="19" t="s">
        <v>40</v>
      </c>
    </row>
    <row r="85" spans="1:3" ht="16.8" thickTop="1" thickBot="1" x14ac:dyDescent="0.35">
      <c r="A85" s="51">
        <f>PRODUCT(((A83*((C81/1000)*2))+J77)*F77)</f>
        <v>1.25</v>
      </c>
      <c r="C85" s="53" t="str">
        <f>IF(A85&lt;8,"Loop ok","Loop not ok")</f>
        <v>Loop ok</v>
      </c>
    </row>
    <row r="86" spans="1:3" ht="16.2" thickBot="1" x14ac:dyDescent="0.35">
      <c r="A86" s="52" t="s">
        <v>119</v>
      </c>
    </row>
    <row r="87" spans="1:3" ht="16.2" thickBot="1" x14ac:dyDescent="0.35">
      <c r="A87" s="54">
        <f>MIN(2000,(PRODUCT((6/F77)/((C81/1000)*2))))</f>
        <v>2000</v>
      </c>
    </row>
  </sheetData>
  <sheetProtection algorithmName="SHA-512" hashValue="whZ++tC/WMbQALNrK47/812sXj1+QyvZMUQzKTH67KYvy3LBvlTqeDHRPxDkwaQUm18QhHYGxnwgoVC3kN3lnA==" saltValue="XnftHUWG59t3+1+dFN+SFw==" spinCount="100000" sheet="1" selectLockedCells="1"/>
  <mergeCells count="2">
    <mergeCell ref="I2:I4"/>
    <mergeCell ref="J2:J4"/>
  </mergeCells>
  <conditionalFormatting sqref="A85">
    <cfRule type="cellIs" dxfId="13" priority="5" stopIfTrue="1" operator="lessThan">
      <formula>8</formula>
    </cfRule>
    <cfRule type="cellIs" dxfId="12" priority="6" stopIfTrue="1" operator="greaterThan">
      <formula>8</formula>
    </cfRule>
  </conditionalFormatting>
  <conditionalFormatting sqref="C85">
    <cfRule type="cellIs" dxfId="11" priority="1" operator="equal">
      <formula>"Loop not ok"</formula>
    </cfRule>
    <cfRule type="cellIs" dxfId="10" priority="7" stopIfTrue="1" operator="equal">
      <formula>"Loop Ok"</formula>
    </cfRule>
  </conditionalFormatting>
  <conditionalFormatting sqref="F77">
    <cfRule type="cellIs" dxfId="9" priority="2" operator="lessThan">
      <formula>0.4</formula>
    </cfRule>
    <cfRule type="cellIs" dxfId="8" priority="3" operator="greaterThan">
      <formula>0.4</formula>
    </cfRule>
    <cfRule type="cellIs" dxfId="7" priority="4" operator="greaterThan">
      <formula>0.4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portrait" r:id="rId1"/>
  <ignoredErrors>
    <ignoredError sqref="F6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B78EDF-7972-4F0F-9D3A-1ED723D61C2C}">
          <x14:formula1>
            <xm:f>Sheet2!$A$25:$A$33</xm:f>
          </x14:formula1>
          <xm:sqref>A79</xm:sqref>
        </x14:dataValidation>
        <x14:dataValidation type="list" allowBlank="1" showInputMessage="1" showErrorMessage="1" xr:uid="{D63440CF-01E9-4B26-BE8E-29B079FDE117}">
          <x14:formula1>
            <xm:f>Sheet2!$A$6:$A$22</xm:f>
          </x14:formula1>
          <xm:sqref>A81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E59F-F6D6-4D40-8287-CEB89F46FCFC}">
  <sheetPr>
    <pageSetUpPr fitToPage="1"/>
  </sheetPr>
  <dimension ref="A1:AC87"/>
  <sheetViews>
    <sheetView tabSelected="1" topLeftCell="A56" zoomScale="81" zoomScaleNormal="81" workbookViewId="0">
      <selection activeCell="B66" sqref="B66"/>
    </sheetView>
  </sheetViews>
  <sheetFormatPr defaultColWidth="8.88671875" defaultRowHeight="15.6" x14ac:dyDescent="0.3"/>
  <cols>
    <col min="1" max="1" width="79" style="19" customWidth="1"/>
    <col min="2" max="2" width="5.33203125" style="16" customWidth="1"/>
    <col min="3" max="3" width="12.44140625" style="19" customWidth="1"/>
    <col min="4" max="4" width="18.44140625" style="19" customWidth="1"/>
    <col min="5" max="6" width="19.6640625" style="19" customWidth="1"/>
    <col min="7" max="10" width="13.5546875" style="19" customWidth="1"/>
    <col min="11" max="11" width="16.6640625" style="19" customWidth="1"/>
    <col min="12" max="16384" width="8.88671875" style="20"/>
  </cols>
  <sheetData>
    <row r="1" spans="1:13" ht="30" customHeight="1" thickBot="1" x14ac:dyDescent="0.35">
      <c r="A1" s="18" t="s">
        <v>6</v>
      </c>
      <c r="B1" s="55"/>
    </row>
    <row r="2" spans="1:13" ht="15.75" customHeight="1" thickBot="1" x14ac:dyDescent="0.35">
      <c r="A2" s="157"/>
      <c r="B2" s="146"/>
      <c r="C2" s="147"/>
      <c r="D2" s="147"/>
      <c r="E2" s="147"/>
      <c r="F2" s="147"/>
      <c r="G2" s="147" t="s">
        <v>36</v>
      </c>
      <c r="H2" s="147"/>
      <c r="I2" s="179" t="s">
        <v>131</v>
      </c>
      <c r="J2" s="179" t="s">
        <v>132</v>
      </c>
      <c r="K2" s="148"/>
    </row>
    <row r="3" spans="1:13" ht="15.6" customHeight="1" x14ac:dyDescent="0.3">
      <c r="A3" s="145" t="s">
        <v>212</v>
      </c>
      <c r="B3" s="149" t="s">
        <v>0</v>
      </c>
      <c r="C3" s="150" t="s">
        <v>2</v>
      </c>
      <c r="D3" s="150" t="s">
        <v>1</v>
      </c>
      <c r="E3" s="150" t="s">
        <v>3</v>
      </c>
      <c r="F3" s="150" t="s">
        <v>4</v>
      </c>
      <c r="G3" s="150" t="s">
        <v>37</v>
      </c>
      <c r="H3" s="150" t="s">
        <v>38</v>
      </c>
      <c r="I3" s="180"/>
      <c r="J3" s="180"/>
      <c r="K3" s="151" t="s">
        <v>5</v>
      </c>
    </row>
    <row r="4" spans="1:13" ht="15.6" customHeight="1" thickBot="1" x14ac:dyDescent="0.35">
      <c r="A4" s="158" t="s">
        <v>209</v>
      </c>
      <c r="B4" s="149"/>
      <c r="C4" s="150"/>
      <c r="D4" s="150"/>
      <c r="E4" s="150"/>
      <c r="F4" s="152"/>
      <c r="G4" s="152"/>
      <c r="H4" s="152"/>
      <c r="I4" s="181"/>
      <c r="J4" s="181"/>
      <c r="K4" s="151"/>
    </row>
    <row r="5" spans="1:13" ht="15.6" customHeight="1" thickBot="1" x14ac:dyDescent="0.35">
      <c r="A5" s="160" t="s">
        <v>210</v>
      </c>
      <c r="B5" s="153">
        <v>5</v>
      </c>
      <c r="C5" s="31">
        <v>0</v>
      </c>
      <c r="D5" s="32">
        <f>B5*C5</f>
        <v>0</v>
      </c>
      <c r="E5" s="33">
        <v>5.0000000000000001E-3</v>
      </c>
      <c r="F5" s="34">
        <f>B5*E5</f>
        <v>2.5000000000000001E-2</v>
      </c>
      <c r="G5" s="35">
        <v>0</v>
      </c>
      <c r="H5" s="36"/>
      <c r="I5" s="36"/>
      <c r="J5" s="36"/>
      <c r="K5" s="22"/>
    </row>
    <row r="6" spans="1:13" ht="15.6" customHeight="1" x14ac:dyDescent="0.3">
      <c r="A6" s="159" t="s">
        <v>133</v>
      </c>
      <c r="B6" s="140"/>
      <c r="C6" s="141"/>
      <c r="D6" s="142"/>
      <c r="E6" s="143"/>
      <c r="F6" s="34"/>
      <c r="G6" s="35"/>
      <c r="H6" s="36"/>
      <c r="I6" s="36"/>
      <c r="J6" s="36"/>
      <c r="K6" s="144"/>
    </row>
    <row r="7" spans="1:13" ht="15.6" customHeight="1" x14ac:dyDescent="0.3">
      <c r="A7" s="128" t="s">
        <v>138</v>
      </c>
      <c r="B7" s="10"/>
      <c r="C7" s="37">
        <v>1.7000000000000001E-4</v>
      </c>
      <c r="D7" s="38">
        <f>B7*C7</f>
        <v>0</v>
      </c>
      <c r="E7" s="37">
        <v>1.7000000000000001E-4</v>
      </c>
      <c r="F7" s="39">
        <f>B7*E7</f>
        <v>0</v>
      </c>
      <c r="G7" s="35">
        <v>1</v>
      </c>
      <c r="H7" s="35">
        <f>B7*G7</f>
        <v>0</v>
      </c>
      <c r="I7" s="35"/>
      <c r="J7" s="35"/>
      <c r="K7" s="23"/>
    </row>
    <row r="8" spans="1:13" ht="15.6" customHeight="1" x14ac:dyDescent="0.3">
      <c r="A8" s="128" t="s">
        <v>139</v>
      </c>
      <c r="B8" s="10"/>
      <c r="C8" s="37">
        <v>2.2000000000000001E-4</v>
      </c>
      <c r="D8" s="38">
        <f t="shared" ref="D8:D69" si="0">B8*C8</f>
        <v>0</v>
      </c>
      <c r="E8" s="37">
        <v>2.2000000000000001E-4</v>
      </c>
      <c r="F8" s="39">
        <f>B8*E8</f>
        <v>0</v>
      </c>
      <c r="G8" s="35">
        <v>1</v>
      </c>
      <c r="H8" s="35">
        <f>B8*G8</f>
        <v>0</v>
      </c>
      <c r="I8" s="35">
        <v>0.05</v>
      </c>
      <c r="J8" s="35">
        <f>B8*I8</f>
        <v>0</v>
      </c>
      <c r="K8" s="23"/>
    </row>
    <row r="9" spans="1:13" ht="15.6" customHeight="1" x14ac:dyDescent="0.3">
      <c r="A9" s="128" t="s">
        <v>140</v>
      </c>
      <c r="B9" s="10"/>
      <c r="C9" s="37">
        <v>1.7000000000000001E-4</v>
      </c>
      <c r="D9" s="38">
        <f t="shared" si="0"/>
        <v>0</v>
      </c>
      <c r="E9" s="37">
        <v>1.7000000000000001E-4</v>
      </c>
      <c r="F9" s="39">
        <f t="shared" ref="F9:F69" si="1">B9*E9</f>
        <v>0</v>
      </c>
      <c r="G9" s="35">
        <v>1</v>
      </c>
      <c r="H9" s="35">
        <f t="shared" ref="H9:H69" si="2">B9*G9</f>
        <v>0</v>
      </c>
      <c r="I9" s="35"/>
      <c r="J9" s="35"/>
      <c r="K9" s="23"/>
    </row>
    <row r="10" spans="1:13" ht="15.6" customHeight="1" x14ac:dyDescent="0.3">
      <c r="A10" s="128" t="s">
        <v>145</v>
      </c>
      <c r="B10" s="10"/>
      <c r="C10" s="37">
        <v>1.7000000000000001E-4</v>
      </c>
      <c r="D10" s="38">
        <f t="shared" si="0"/>
        <v>0</v>
      </c>
      <c r="E10" s="37">
        <v>1.7000000000000001E-4</v>
      </c>
      <c r="F10" s="39">
        <f t="shared" si="1"/>
        <v>0</v>
      </c>
      <c r="G10" s="35">
        <v>1</v>
      </c>
      <c r="H10" s="35">
        <f t="shared" si="2"/>
        <v>0</v>
      </c>
      <c r="I10" s="35"/>
      <c r="J10" s="35"/>
      <c r="K10" s="23"/>
    </row>
    <row r="11" spans="1:13" ht="15.6" customHeight="1" x14ac:dyDescent="0.3">
      <c r="A11" s="128" t="s">
        <v>146</v>
      </c>
      <c r="B11" s="10"/>
      <c r="C11" s="37">
        <v>1.7000000000000001E-4</v>
      </c>
      <c r="D11" s="38">
        <f t="shared" si="0"/>
        <v>0</v>
      </c>
      <c r="E11" s="37">
        <v>1.7000000000000001E-4</v>
      </c>
      <c r="F11" s="39">
        <f t="shared" si="1"/>
        <v>0</v>
      </c>
      <c r="G11" s="35">
        <v>1</v>
      </c>
      <c r="H11" s="35">
        <f t="shared" si="2"/>
        <v>0</v>
      </c>
      <c r="I11" s="35"/>
      <c r="J11" s="35"/>
      <c r="K11" s="23"/>
      <c r="M11" s="125"/>
    </row>
    <row r="12" spans="1:13" ht="15.6" customHeight="1" x14ac:dyDescent="0.3">
      <c r="A12" s="128" t="s">
        <v>141</v>
      </c>
      <c r="B12" s="10"/>
      <c r="C12" s="37">
        <v>2.2000000000000001E-4</v>
      </c>
      <c r="D12" s="38">
        <f t="shared" si="0"/>
        <v>0</v>
      </c>
      <c r="E12" s="37">
        <v>2.2000000000000001E-4</v>
      </c>
      <c r="F12" s="39">
        <f>B12*E12</f>
        <v>0</v>
      </c>
      <c r="G12" s="35">
        <v>1</v>
      </c>
      <c r="H12" s="35">
        <f t="shared" si="2"/>
        <v>0</v>
      </c>
      <c r="I12" s="35">
        <v>0.05</v>
      </c>
      <c r="J12" s="35">
        <f>B12*I12</f>
        <v>0</v>
      </c>
      <c r="K12" s="23"/>
      <c r="M12" s="125"/>
    </row>
    <row r="13" spans="1:13" ht="15.6" customHeight="1" x14ac:dyDescent="0.3">
      <c r="A13" s="128" t="s">
        <v>142</v>
      </c>
      <c r="B13" s="10"/>
      <c r="C13" s="37">
        <v>1.7000000000000001E-4</v>
      </c>
      <c r="D13" s="38">
        <f t="shared" si="0"/>
        <v>0</v>
      </c>
      <c r="E13" s="37">
        <v>1.7000000000000001E-4</v>
      </c>
      <c r="F13" s="39">
        <f t="shared" si="1"/>
        <v>0</v>
      </c>
      <c r="G13" s="35">
        <v>2</v>
      </c>
      <c r="H13" s="35">
        <f t="shared" si="2"/>
        <v>0</v>
      </c>
      <c r="I13" s="35"/>
      <c r="J13" s="35"/>
      <c r="K13" s="23"/>
    </row>
    <row r="14" spans="1:13" ht="15.6" customHeight="1" x14ac:dyDescent="0.3">
      <c r="A14" s="128" t="s">
        <v>143</v>
      </c>
      <c r="B14" s="10"/>
      <c r="C14" s="37">
        <v>2.2000000000000001E-4</v>
      </c>
      <c r="D14" s="38">
        <f t="shared" si="0"/>
        <v>0</v>
      </c>
      <c r="E14" s="37">
        <v>2.2000000000000001E-4</v>
      </c>
      <c r="F14" s="39">
        <f>B14*E14</f>
        <v>0</v>
      </c>
      <c r="G14" s="35">
        <v>2</v>
      </c>
      <c r="H14" s="35">
        <f t="shared" si="2"/>
        <v>0</v>
      </c>
      <c r="I14" s="35">
        <v>0.05</v>
      </c>
      <c r="J14" s="35">
        <f>B14*I14</f>
        <v>0</v>
      </c>
      <c r="K14" s="23"/>
    </row>
    <row r="15" spans="1:13" ht="15.6" customHeight="1" x14ac:dyDescent="0.3">
      <c r="A15" s="129" t="s">
        <v>144</v>
      </c>
      <c r="B15" s="10"/>
      <c r="C15" s="37">
        <v>1.7000000000000001E-4</v>
      </c>
      <c r="D15" s="38">
        <f t="shared" si="0"/>
        <v>0</v>
      </c>
      <c r="E15" s="37">
        <v>1.7000000000000001E-4</v>
      </c>
      <c r="F15" s="39">
        <f t="shared" si="1"/>
        <v>0</v>
      </c>
      <c r="G15" s="35">
        <v>2</v>
      </c>
      <c r="H15" s="35">
        <f t="shared" si="2"/>
        <v>0</v>
      </c>
      <c r="I15" s="35"/>
      <c r="J15" s="35"/>
      <c r="K15" s="23"/>
    </row>
    <row r="16" spans="1:13" ht="15.6" customHeight="1" x14ac:dyDescent="0.3">
      <c r="A16" s="129" t="s">
        <v>147</v>
      </c>
      <c r="B16" s="10"/>
      <c r="C16" s="37">
        <v>1.7000000000000001E-4</v>
      </c>
      <c r="D16" s="38">
        <f t="shared" si="0"/>
        <v>0</v>
      </c>
      <c r="E16" s="37">
        <v>1.7000000000000001E-4</v>
      </c>
      <c r="F16" s="39">
        <f t="shared" si="1"/>
        <v>0</v>
      </c>
      <c r="G16" s="35">
        <v>2</v>
      </c>
      <c r="H16" s="35">
        <f t="shared" si="2"/>
        <v>0</v>
      </c>
      <c r="I16" s="35"/>
      <c r="J16" s="35"/>
      <c r="K16" s="23"/>
    </row>
    <row r="17" spans="1:29" ht="15.6" customHeight="1" x14ac:dyDescent="0.3">
      <c r="A17" s="128" t="s">
        <v>148</v>
      </c>
      <c r="B17" s="10"/>
      <c r="C17" s="37">
        <v>1.7000000000000001E-4</v>
      </c>
      <c r="D17" s="38">
        <f t="shared" si="0"/>
        <v>0</v>
      </c>
      <c r="E17" s="37">
        <v>3.5000000000000001E-3</v>
      </c>
      <c r="F17" s="39">
        <f t="shared" si="1"/>
        <v>0</v>
      </c>
      <c r="G17" s="35">
        <v>2</v>
      </c>
      <c r="H17" s="35">
        <f t="shared" si="2"/>
        <v>0</v>
      </c>
      <c r="I17" s="35"/>
      <c r="J17" s="35"/>
      <c r="K17" s="23"/>
    </row>
    <row r="18" spans="1:29" x14ac:dyDescent="0.3">
      <c r="A18" s="130" t="s">
        <v>149</v>
      </c>
      <c r="B18" s="10"/>
      <c r="C18" s="40">
        <v>1.7000000000000001E-4</v>
      </c>
      <c r="D18" s="41">
        <f t="shared" si="0"/>
        <v>0</v>
      </c>
      <c r="E18" s="40">
        <v>3.5000000000000001E-3</v>
      </c>
      <c r="F18" s="42">
        <f t="shared" si="1"/>
        <v>0</v>
      </c>
      <c r="G18" s="42">
        <v>2</v>
      </c>
      <c r="H18" s="35">
        <f t="shared" si="2"/>
        <v>0</v>
      </c>
      <c r="I18" s="35"/>
      <c r="J18" s="35"/>
      <c r="K18" s="21"/>
    </row>
    <row r="19" spans="1:29" ht="15.6" customHeight="1" x14ac:dyDescent="0.3">
      <c r="A19" s="154" t="s">
        <v>150</v>
      </c>
      <c r="B19" s="10"/>
      <c r="C19" s="43"/>
      <c r="D19" s="38"/>
      <c r="E19" s="44"/>
      <c r="F19" s="39"/>
      <c r="G19" s="39"/>
      <c r="H19" s="35"/>
      <c r="I19" s="35"/>
      <c r="J19" s="35"/>
      <c r="K19" s="25"/>
    </row>
    <row r="20" spans="1:29" ht="15.6" customHeight="1" x14ac:dyDescent="0.3">
      <c r="A20" s="131" t="s">
        <v>151</v>
      </c>
      <c r="B20" s="10"/>
      <c r="C20" s="37">
        <v>0</v>
      </c>
      <c r="D20" s="38">
        <f t="shared" si="0"/>
        <v>0</v>
      </c>
      <c r="E20" s="38">
        <v>0</v>
      </c>
      <c r="F20" s="39">
        <f t="shared" si="1"/>
        <v>0</v>
      </c>
      <c r="G20" s="39">
        <v>0</v>
      </c>
      <c r="H20" s="35">
        <f t="shared" si="2"/>
        <v>0</v>
      </c>
      <c r="I20" s="35"/>
      <c r="J20" s="35"/>
      <c r="K20" s="25"/>
    </row>
    <row r="21" spans="1:29" ht="15.6" customHeight="1" x14ac:dyDescent="0.3">
      <c r="A21" s="131" t="s">
        <v>213</v>
      </c>
      <c r="B21" s="10"/>
      <c r="C21" s="37">
        <v>0</v>
      </c>
      <c r="D21" s="38">
        <v>0</v>
      </c>
      <c r="E21" s="38">
        <v>0</v>
      </c>
      <c r="F21" s="39">
        <v>0</v>
      </c>
      <c r="G21" s="39">
        <v>0</v>
      </c>
      <c r="H21" s="35">
        <v>0</v>
      </c>
      <c r="I21" s="35"/>
      <c r="J21" s="35"/>
      <c r="K21" s="25"/>
    </row>
    <row r="22" spans="1:29" ht="15.6" customHeight="1" x14ac:dyDescent="0.3">
      <c r="A22" s="131" t="s">
        <v>214</v>
      </c>
      <c r="B22" s="10"/>
      <c r="C22" s="45">
        <v>0</v>
      </c>
      <c r="D22" s="38">
        <f t="shared" si="0"/>
        <v>0</v>
      </c>
      <c r="E22" s="46">
        <v>0</v>
      </c>
      <c r="F22" s="39">
        <f t="shared" si="1"/>
        <v>0</v>
      </c>
      <c r="G22" s="39">
        <v>0</v>
      </c>
      <c r="H22" s="35">
        <f t="shared" si="2"/>
        <v>0</v>
      </c>
      <c r="I22" s="35"/>
      <c r="J22" s="35"/>
      <c r="K22" s="26"/>
    </row>
    <row r="23" spans="1:29" ht="15.6" customHeight="1" x14ac:dyDescent="0.3">
      <c r="A23" s="132" t="s">
        <v>215</v>
      </c>
      <c r="B23" s="10"/>
      <c r="C23" s="48">
        <v>6.0000000000000002E-5</v>
      </c>
      <c r="D23" s="38">
        <f t="shared" si="0"/>
        <v>0</v>
      </c>
      <c r="E23" s="47">
        <v>6.0000000000000002E-5</v>
      </c>
      <c r="F23" s="39">
        <f t="shared" si="1"/>
        <v>0</v>
      </c>
      <c r="G23" s="39">
        <v>0</v>
      </c>
      <c r="H23" s="35">
        <f t="shared" si="2"/>
        <v>0</v>
      </c>
      <c r="I23" s="35">
        <v>0.12</v>
      </c>
      <c r="J23" s="35">
        <f>B23*I23</f>
        <v>0</v>
      </c>
      <c r="K23" s="24"/>
    </row>
    <row r="24" spans="1:29" ht="15.6" customHeight="1" x14ac:dyDescent="0.3">
      <c r="A24" s="132" t="s">
        <v>216</v>
      </c>
      <c r="B24" s="10"/>
      <c r="C24" s="48">
        <v>6.0000000000000002E-5</v>
      </c>
      <c r="D24" s="38">
        <f t="shared" si="0"/>
        <v>0</v>
      </c>
      <c r="E24" s="47">
        <v>6.0000000000000002E-5</v>
      </c>
      <c r="F24" s="39">
        <f t="shared" si="1"/>
        <v>0</v>
      </c>
      <c r="G24" s="39">
        <v>0</v>
      </c>
      <c r="H24" s="35">
        <f t="shared" si="2"/>
        <v>0</v>
      </c>
      <c r="I24" s="35">
        <v>0.12</v>
      </c>
      <c r="J24" s="35">
        <f>B24*I24</f>
        <v>0</v>
      </c>
      <c r="K24" s="24"/>
    </row>
    <row r="25" spans="1:29" ht="15.6" customHeight="1" x14ac:dyDescent="0.3">
      <c r="A25" s="132" t="s">
        <v>152</v>
      </c>
      <c r="B25" s="10"/>
      <c r="C25" s="48">
        <v>6.0000000000000002E-5</v>
      </c>
      <c r="D25" s="38">
        <f t="shared" si="0"/>
        <v>0</v>
      </c>
      <c r="E25" s="47">
        <v>6.0000000000000002E-5</v>
      </c>
      <c r="F25" s="39">
        <f t="shared" si="1"/>
        <v>0</v>
      </c>
      <c r="G25" s="39">
        <v>0</v>
      </c>
      <c r="H25" s="35">
        <f t="shared" si="2"/>
        <v>0</v>
      </c>
      <c r="I25" s="35">
        <v>0.12</v>
      </c>
      <c r="J25" s="35">
        <f>B25*I25</f>
        <v>0</v>
      </c>
      <c r="K25" s="24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15.6" customHeight="1" x14ac:dyDescent="0.3">
      <c r="A26" s="155" t="s">
        <v>134</v>
      </c>
      <c r="B26" s="10"/>
      <c r="C26" s="48"/>
      <c r="D26" s="38"/>
      <c r="E26" s="47"/>
      <c r="F26" s="39"/>
      <c r="G26" s="39"/>
      <c r="H26" s="35"/>
      <c r="I26" s="35"/>
      <c r="J26" s="35"/>
      <c r="K26" s="24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ht="15.6" customHeight="1" x14ac:dyDescent="0.3">
      <c r="A27" s="128" t="s">
        <v>153</v>
      </c>
      <c r="B27" s="10"/>
      <c r="C27" s="37">
        <v>2.0000000000000001E-4</v>
      </c>
      <c r="D27" s="38">
        <f t="shared" si="0"/>
        <v>0</v>
      </c>
      <c r="E27" s="38">
        <v>2.0000000000000001E-4</v>
      </c>
      <c r="F27" s="39">
        <f t="shared" si="1"/>
        <v>0</v>
      </c>
      <c r="G27" s="39">
        <v>1</v>
      </c>
      <c r="H27" s="35">
        <f t="shared" si="2"/>
        <v>0</v>
      </c>
      <c r="I27" s="35"/>
      <c r="J27" s="35"/>
      <c r="K27" s="26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15.6" customHeight="1" x14ac:dyDescent="0.3">
      <c r="A28" s="128" t="s">
        <v>154</v>
      </c>
      <c r="B28" s="10"/>
      <c r="C28" s="37">
        <v>2.0000000000000001E-4</v>
      </c>
      <c r="D28" s="38">
        <f t="shared" si="0"/>
        <v>0</v>
      </c>
      <c r="E28" s="38">
        <v>2.0000000000000001E-4</v>
      </c>
      <c r="F28" s="39">
        <f t="shared" si="1"/>
        <v>0</v>
      </c>
      <c r="G28" s="39">
        <v>1</v>
      </c>
      <c r="H28" s="35">
        <f t="shared" si="2"/>
        <v>0</v>
      </c>
      <c r="I28" s="35"/>
      <c r="J28" s="35"/>
      <c r="K28" s="26"/>
    </row>
    <row r="29" spans="1:29" x14ac:dyDescent="0.3">
      <c r="A29" s="130" t="s">
        <v>155</v>
      </c>
      <c r="B29" s="10"/>
      <c r="C29" s="40">
        <v>2.0000000000000001E-4</v>
      </c>
      <c r="D29" s="41">
        <f t="shared" si="0"/>
        <v>0</v>
      </c>
      <c r="E29" s="41">
        <v>2.0000000000000001E-4</v>
      </c>
      <c r="F29" s="42">
        <f t="shared" si="1"/>
        <v>0</v>
      </c>
      <c r="G29" s="42">
        <v>1</v>
      </c>
      <c r="H29" s="35">
        <f t="shared" si="2"/>
        <v>0</v>
      </c>
      <c r="I29" s="35"/>
      <c r="J29" s="35"/>
      <c r="K29" s="21"/>
    </row>
    <row r="30" spans="1:29" x14ac:dyDescent="0.3">
      <c r="A30" s="130" t="s">
        <v>156</v>
      </c>
      <c r="B30" s="10"/>
      <c r="C30" s="40">
        <v>2.0000000000000001E-4</v>
      </c>
      <c r="D30" s="41">
        <f t="shared" si="0"/>
        <v>0</v>
      </c>
      <c r="E30" s="41">
        <v>2.0000000000000001E-4</v>
      </c>
      <c r="F30" s="42">
        <f t="shared" si="1"/>
        <v>0</v>
      </c>
      <c r="G30" s="42">
        <v>1</v>
      </c>
      <c r="H30" s="35">
        <f t="shared" si="2"/>
        <v>0</v>
      </c>
      <c r="I30" s="35"/>
      <c r="J30" s="35"/>
      <c r="K30" s="21"/>
    </row>
    <row r="31" spans="1:29" ht="15.6" customHeight="1" x14ac:dyDescent="0.3">
      <c r="A31" s="132" t="s">
        <v>157</v>
      </c>
      <c r="B31" s="10"/>
      <c r="C31" s="37">
        <v>2.0000000000000001E-4</v>
      </c>
      <c r="D31" s="38">
        <f t="shared" si="0"/>
        <v>0</v>
      </c>
      <c r="E31" s="38">
        <v>2.0000000000000001E-4</v>
      </c>
      <c r="F31" s="39">
        <f t="shared" si="1"/>
        <v>0</v>
      </c>
      <c r="G31" s="39">
        <v>1</v>
      </c>
      <c r="H31" s="35">
        <f t="shared" si="2"/>
        <v>0</v>
      </c>
      <c r="I31" s="35">
        <v>0.15</v>
      </c>
      <c r="J31" s="35">
        <f>B31*I31</f>
        <v>0</v>
      </c>
      <c r="K31" s="24"/>
    </row>
    <row r="32" spans="1:29" ht="15.6" customHeight="1" x14ac:dyDescent="0.3">
      <c r="A32" s="132" t="s">
        <v>158</v>
      </c>
      <c r="B32" s="10"/>
      <c r="C32" s="37">
        <v>2.0000000000000001E-4</v>
      </c>
      <c r="D32" s="38">
        <f t="shared" si="0"/>
        <v>0</v>
      </c>
      <c r="E32" s="38">
        <v>2.0000000000000001E-4</v>
      </c>
      <c r="F32" s="39">
        <f t="shared" si="1"/>
        <v>0</v>
      </c>
      <c r="G32" s="39">
        <v>1</v>
      </c>
      <c r="H32" s="35">
        <f t="shared" si="2"/>
        <v>0</v>
      </c>
      <c r="I32" s="35">
        <v>0.15</v>
      </c>
      <c r="J32" s="35">
        <f>B32*I32</f>
        <v>0</v>
      </c>
      <c r="K32" s="24"/>
    </row>
    <row r="33" spans="1:29" ht="15.6" customHeight="1" x14ac:dyDescent="0.3">
      <c r="A33" s="154" t="s">
        <v>135</v>
      </c>
      <c r="B33" s="10"/>
      <c r="C33" s="45"/>
      <c r="D33" s="38"/>
      <c r="E33" s="46"/>
      <c r="F33" s="39"/>
      <c r="G33" s="39"/>
      <c r="H33" s="35"/>
      <c r="I33" s="35"/>
      <c r="J33" s="35"/>
      <c r="K33" s="26"/>
    </row>
    <row r="34" spans="1:29" ht="15.6" customHeight="1" x14ac:dyDescent="0.3">
      <c r="A34" s="131" t="s">
        <v>159</v>
      </c>
      <c r="B34" s="10"/>
      <c r="C34" s="48">
        <v>2.0000000000000001E-4</v>
      </c>
      <c r="D34" s="38">
        <f t="shared" si="0"/>
        <v>0</v>
      </c>
      <c r="E34" s="47">
        <v>4.0000000000000001E-3</v>
      </c>
      <c r="F34" s="39">
        <f t="shared" si="1"/>
        <v>0</v>
      </c>
      <c r="G34" s="39">
        <v>1</v>
      </c>
      <c r="H34" s="35">
        <f t="shared" si="2"/>
        <v>0</v>
      </c>
      <c r="I34" s="35"/>
      <c r="J34" s="35"/>
      <c r="K34" s="24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ht="15.6" customHeight="1" x14ac:dyDescent="0.3">
      <c r="A35" s="131" t="s">
        <v>160</v>
      </c>
      <c r="B35" s="10"/>
      <c r="C35" s="48">
        <v>2.0000000000000001E-4</v>
      </c>
      <c r="D35" s="38">
        <f t="shared" si="0"/>
        <v>0</v>
      </c>
      <c r="E35" s="47">
        <v>4.0000000000000001E-3</v>
      </c>
      <c r="F35" s="39">
        <f t="shared" si="1"/>
        <v>0</v>
      </c>
      <c r="G35" s="39">
        <v>1</v>
      </c>
      <c r="H35" s="35">
        <f t="shared" si="2"/>
        <v>0</v>
      </c>
      <c r="I35" s="35"/>
      <c r="J35" s="35"/>
      <c r="K35" s="24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ht="15.6" customHeight="1" x14ac:dyDescent="0.3">
      <c r="A36" s="128"/>
      <c r="B36" s="10"/>
      <c r="C36" s="45"/>
      <c r="D36" s="38"/>
      <c r="E36" s="46"/>
      <c r="F36" s="39"/>
      <c r="G36" s="39"/>
      <c r="H36" s="35"/>
      <c r="I36" s="35"/>
      <c r="J36" s="35"/>
      <c r="K36" s="26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ht="15.6" customHeight="1" x14ac:dyDescent="0.3">
      <c r="A37" s="130" t="s">
        <v>161</v>
      </c>
      <c r="B37" s="10"/>
      <c r="C37" s="48">
        <v>2.0000000000000001E-4</v>
      </c>
      <c r="D37" s="38">
        <f t="shared" si="0"/>
        <v>0</v>
      </c>
      <c r="E37" s="46">
        <v>0.02</v>
      </c>
      <c r="F37" s="39">
        <f t="shared" si="1"/>
        <v>0</v>
      </c>
      <c r="G37" s="39">
        <v>1</v>
      </c>
      <c r="H37" s="35">
        <f t="shared" si="2"/>
        <v>0</v>
      </c>
      <c r="I37" s="35">
        <v>0.15</v>
      </c>
      <c r="J37" s="35">
        <f>B37*I37</f>
        <v>0</v>
      </c>
      <c r="K37" s="24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ht="15.6" customHeight="1" x14ac:dyDescent="0.3">
      <c r="A38" s="130" t="s">
        <v>162</v>
      </c>
      <c r="B38" s="10"/>
      <c r="C38" s="48">
        <v>2.0000000000000001E-4</v>
      </c>
      <c r="D38" s="38">
        <f t="shared" si="0"/>
        <v>0</v>
      </c>
      <c r="E38" s="46">
        <v>0.02</v>
      </c>
      <c r="F38" s="39">
        <f t="shared" si="1"/>
        <v>0</v>
      </c>
      <c r="G38" s="39">
        <v>1</v>
      </c>
      <c r="H38" s="35">
        <f t="shared" si="2"/>
        <v>0</v>
      </c>
      <c r="I38" s="35">
        <v>0.15</v>
      </c>
      <c r="J38" s="35">
        <f>B38*I38</f>
        <v>0</v>
      </c>
      <c r="K38" s="24"/>
    </row>
    <row r="39" spans="1:29" ht="15.6" customHeight="1" x14ac:dyDescent="0.3">
      <c r="A39" s="130" t="s">
        <v>163</v>
      </c>
      <c r="B39" s="10"/>
      <c r="C39" s="48">
        <v>2.0000000000000001E-4</v>
      </c>
      <c r="D39" s="38">
        <f t="shared" si="0"/>
        <v>0</v>
      </c>
      <c r="E39" s="46">
        <v>0.02</v>
      </c>
      <c r="F39" s="39">
        <f t="shared" si="1"/>
        <v>0</v>
      </c>
      <c r="G39" s="39">
        <v>1</v>
      </c>
      <c r="H39" s="35">
        <f t="shared" si="2"/>
        <v>0</v>
      </c>
      <c r="I39" s="35">
        <v>0.15</v>
      </c>
      <c r="J39" s="35">
        <f>B39*I39</f>
        <v>0</v>
      </c>
      <c r="K39" s="24"/>
    </row>
    <row r="40" spans="1:29" ht="15.6" customHeight="1" x14ac:dyDescent="0.3">
      <c r="A40" s="128" t="s">
        <v>164</v>
      </c>
      <c r="B40" s="10"/>
      <c r="C40" s="48">
        <v>2.0000000000000001E-4</v>
      </c>
      <c r="D40" s="38">
        <f t="shared" si="0"/>
        <v>0</v>
      </c>
      <c r="E40" s="46">
        <v>0.02</v>
      </c>
      <c r="F40" s="39">
        <f t="shared" si="1"/>
        <v>0</v>
      </c>
      <c r="G40" s="39">
        <v>1</v>
      </c>
      <c r="H40" s="35">
        <f t="shared" si="2"/>
        <v>0</v>
      </c>
      <c r="I40" s="35"/>
      <c r="J40" s="35"/>
      <c r="K40" s="26"/>
    </row>
    <row r="41" spans="1:29" ht="15.6" customHeight="1" x14ac:dyDescent="0.3">
      <c r="A41" s="128" t="s">
        <v>165</v>
      </c>
      <c r="B41" s="10"/>
      <c r="C41" s="48">
        <v>2.0000000000000001E-4</v>
      </c>
      <c r="D41" s="38">
        <f t="shared" si="0"/>
        <v>0</v>
      </c>
      <c r="E41" s="46">
        <v>0.02</v>
      </c>
      <c r="F41" s="39">
        <f t="shared" si="1"/>
        <v>0</v>
      </c>
      <c r="G41" s="39">
        <v>1</v>
      </c>
      <c r="H41" s="35">
        <f t="shared" si="2"/>
        <v>0</v>
      </c>
      <c r="I41" s="35"/>
      <c r="J41" s="35"/>
      <c r="K41" s="26"/>
    </row>
    <row r="42" spans="1:29" ht="15.6" customHeight="1" x14ac:dyDescent="0.3">
      <c r="A42" s="128" t="s">
        <v>166</v>
      </c>
      <c r="B42" s="10"/>
      <c r="C42" s="48">
        <v>2.0000000000000001E-4</v>
      </c>
      <c r="D42" s="38">
        <f t="shared" si="0"/>
        <v>0</v>
      </c>
      <c r="E42" s="46">
        <v>0.02</v>
      </c>
      <c r="F42" s="39">
        <f t="shared" si="1"/>
        <v>0</v>
      </c>
      <c r="G42" s="39">
        <v>1</v>
      </c>
      <c r="H42" s="35">
        <f t="shared" si="2"/>
        <v>0</v>
      </c>
      <c r="I42" s="35"/>
      <c r="J42" s="35"/>
      <c r="K42" s="26"/>
    </row>
    <row r="43" spans="1:29" ht="15.6" customHeight="1" x14ac:dyDescent="0.3">
      <c r="A43" s="133"/>
      <c r="B43" s="10"/>
      <c r="C43" s="45"/>
      <c r="D43" s="38"/>
      <c r="E43" s="46"/>
      <c r="F43" s="39"/>
      <c r="G43" s="39"/>
      <c r="H43" s="35"/>
      <c r="I43" s="35"/>
      <c r="J43" s="35"/>
      <c r="K43" s="26"/>
    </row>
    <row r="44" spans="1:29" ht="15.6" customHeight="1" x14ac:dyDescent="0.3">
      <c r="A44" s="128" t="s">
        <v>167</v>
      </c>
      <c r="B44" s="10"/>
      <c r="C44" s="45">
        <v>2.0000000000000001E-4</v>
      </c>
      <c r="D44" s="38">
        <f t="shared" si="0"/>
        <v>0</v>
      </c>
      <c r="E44" s="46">
        <v>9.4999999999999998E-3</v>
      </c>
      <c r="F44" s="39">
        <f t="shared" si="1"/>
        <v>0</v>
      </c>
      <c r="G44" s="39">
        <v>2</v>
      </c>
      <c r="H44" s="35">
        <f t="shared" si="2"/>
        <v>0</v>
      </c>
      <c r="I44" s="35"/>
      <c r="J44" s="35"/>
      <c r="K44" s="26"/>
    </row>
    <row r="45" spans="1:29" ht="15.6" customHeight="1" x14ac:dyDescent="0.3">
      <c r="A45" s="128" t="s">
        <v>168</v>
      </c>
      <c r="B45" s="10"/>
      <c r="C45" s="48">
        <v>2.0000000000000001E-4</v>
      </c>
      <c r="D45" s="38">
        <f t="shared" si="0"/>
        <v>0</v>
      </c>
      <c r="E45" s="47">
        <v>1.4E-2</v>
      </c>
      <c r="F45" s="39">
        <f t="shared" si="1"/>
        <v>0</v>
      </c>
      <c r="G45" s="39">
        <v>2</v>
      </c>
      <c r="H45" s="35">
        <f t="shared" si="2"/>
        <v>0</v>
      </c>
      <c r="I45" s="35"/>
      <c r="J45" s="35"/>
      <c r="K45" s="26"/>
    </row>
    <row r="46" spans="1:29" ht="15.6" customHeight="1" x14ac:dyDescent="0.3">
      <c r="A46" s="128" t="s">
        <v>169</v>
      </c>
      <c r="B46" s="10"/>
      <c r="C46" s="48">
        <v>2.0000000000000001E-4</v>
      </c>
      <c r="D46" s="38">
        <f t="shared" si="0"/>
        <v>0</v>
      </c>
      <c r="E46" s="47">
        <v>9.4999999999999998E-3</v>
      </c>
      <c r="F46" s="39">
        <f t="shared" si="1"/>
        <v>0</v>
      </c>
      <c r="G46" s="39">
        <v>2</v>
      </c>
      <c r="H46" s="35">
        <f t="shared" si="2"/>
        <v>0</v>
      </c>
      <c r="I46" s="35"/>
      <c r="J46" s="35"/>
      <c r="K46" s="26"/>
    </row>
    <row r="47" spans="1:29" ht="15.6" customHeight="1" x14ac:dyDescent="0.3">
      <c r="A47" s="128" t="s">
        <v>170</v>
      </c>
      <c r="B47" s="10"/>
      <c r="C47" s="48">
        <v>2.0000000000000001E-4</v>
      </c>
      <c r="D47" s="38">
        <f t="shared" si="0"/>
        <v>0</v>
      </c>
      <c r="E47" s="47">
        <v>1.4E-2</v>
      </c>
      <c r="F47" s="39">
        <f t="shared" si="1"/>
        <v>0</v>
      </c>
      <c r="G47" s="39">
        <v>2</v>
      </c>
      <c r="H47" s="35">
        <f t="shared" si="2"/>
        <v>0</v>
      </c>
      <c r="I47" s="35"/>
      <c r="J47" s="35"/>
      <c r="K47" s="26"/>
    </row>
    <row r="48" spans="1:29" ht="15.6" customHeight="1" x14ac:dyDescent="0.3">
      <c r="A48" s="128" t="s">
        <v>171</v>
      </c>
      <c r="B48" s="10"/>
      <c r="C48" s="45">
        <v>0</v>
      </c>
      <c r="D48" s="38">
        <f t="shared" si="0"/>
        <v>0</v>
      </c>
      <c r="E48" s="47">
        <v>6.1999999999999998E-3</v>
      </c>
      <c r="F48" s="39">
        <f t="shared" si="1"/>
        <v>0</v>
      </c>
      <c r="G48" s="39">
        <v>0</v>
      </c>
      <c r="H48" s="35">
        <f t="shared" si="2"/>
        <v>0</v>
      </c>
      <c r="I48" s="35"/>
      <c r="J48" s="35"/>
      <c r="K48" s="28"/>
    </row>
    <row r="49" spans="1:29" x14ac:dyDescent="0.3">
      <c r="A49" s="130" t="s">
        <v>172</v>
      </c>
      <c r="B49" s="10"/>
      <c r="C49" s="49">
        <v>0</v>
      </c>
      <c r="D49" s="41">
        <v>0</v>
      </c>
      <c r="E49" s="35">
        <v>8.9999999999999993E-3</v>
      </c>
      <c r="F49" s="42">
        <f t="shared" si="1"/>
        <v>0</v>
      </c>
      <c r="G49" s="42">
        <v>0</v>
      </c>
      <c r="H49" s="35">
        <f t="shared" si="2"/>
        <v>0</v>
      </c>
      <c r="I49" s="35"/>
      <c r="J49" s="35"/>
      <c r="K49" s="29"/>
    </row>
    <row r="50" spans="1:29" ht="15.6" customHeight="1" x14ac:dyDescent="0.3">
      <c r="A50" s="131" t="s">
        <v>173</v>
      </c>
      <c r="B50" s="10"/>
      <c r="C50" s="50">
        <v>1E-4</v>
      </c>
      <c r="D50" s="38">
        <f t="shared" si="0"/>
        <v>0</v>
      </c>
      <c r="E50" s="38">
        <v>2.0000000000000001E-4</v>
      </c>
      <c r="F50" s="39">
        <f t="shared" si="1"/>
        <v>0</v>
      </c>
      <c r="G50" s="39">
        <v>0</v>
      </c>
      <c r="H50" s="35">
        <f t="shared" si="2"/>
        <v>0</v>
      </c>
      <c r="I50" s="35"/>
      <c r="J50" s="35"/>
      <c r="K50" s="28"/>
      <c r="AC50" s="16"/>
    </row>
    <row r="51" spans="1:29" ht="15.6" customHeight="1" x14ac:dyDescent="0.3">
      <c r="A51" s="155" t="s">
        <v>136</v>
      </c>
      <c r="B51" s="10"/>
      <c r="C51" s="50"/>
      <c r="D51" s="38"/>
      <c r="E51" s="38"/>
      <c r="F51" s="39"/>
      <c r="G51" s="39"/>
      <c r="H51" s="35"/>
      <c r="I51" s="35"/>
      <c r="J51" s="35"/>
      <c r="K51" s="28"/>
      <c r="AC51" s="16"/>
    </row>
    <row r="52" spans="1:29" ht="15.6" customHeight="1" x14ac:dyDescent="0.3">
      <c r="A52" s="128" t="s">
        <v>174</v>
      </c>
      <c r="B52" s="10"/>
      <c r="C52" s="45">
        <v>2.1000000000000001E-4</v>
      </c>
      <c r="D52" s="38">
        <f t="shared" si="0"/>
        <v>0</v>
      </c>
      <c r="E52" s="47">
        <v>2.5000000000000001E-3</v>
      </c>
      <c r="F52" s="39">
        <f t="shared" si="1"/>
        <v>0</v>
      </c>
      <c r="G52" s="39">
        <v>1</v>
      </c>
      <c r="H52" s="35">
        <f t="shared" si="2"/>
        <v>0</v>
      </c>
      <c r="I52" s="35"/>
      <c r="J52" s="35"/>
      <c r="K52" s="26"/>
      <c r="AC52" s="16"/>
    </row>
    <row r="53" spans="1:29" ht="15.6" customHeight="1" x14ac:dyDescent="0.3">
      <c r="A53" s="128" t="s">
        <v>175</v>
      </c>
      <c r="B53" s="10"/>
      <c r="C53" s="45">
        <v>2.1000000000000001E-4</v>
      </c>
      <c r="D53" s="38">
        <f t="shared" si="0"/>
        <v>0</v>
      </c>
      <c r="E53" s="46">
        <v>2.5000000000000001E-3</v>
      </c>
      <c r="F53" s="39">
        <f t="shared" si="1"/>
        <v>0</v>
      </c>
      <c r="G53" s="39">
        <v>2</v>
      </c>
      <c r="H53" s="35">
        <f t="shared" si="2"/>
        <v>0</v>
      </c>
      <c r="I53" s="35"/>
      <c r="J53" s="35"/>
      <c r="K53" s="26"/>
    </row>
    <row r="54" spans="1:29" ht="15.6" customHeight="1" x14ac:dyDescent="0.3">
      <c r="A54" s="128" t="s">
        <v>176</v>
      </c>
      <c r="B54" s="10"/>
      <c r="C54" s="45">
        <v>2.1499999999999999E-4</v>
      </c>
      <c r="D54" s="38">
        <f t="shared" si="0"/>
        <v>0</v>
      </c>
      <c r="E54" s="47">
        <v>2.3500000000000001E-3</v>
      </c>
      <c r="F54" s="39">
        <f t="shared" si="1"/>
        <v>0</v>
      </c>
      <c r="G54" s="39">
        <v>2</v>
      </c>
      <c r="H54" s="35">
        <f t="shared" si="2"/>
        <v>0</v>
      </c>
      <c r="I54" s="35"/>
      <c r="J54" s="35"/>
      <c r="K54" s="26"/>
    </row>
    <row r="55" spans="1:29" ht="15.6" customHeight="1" x14ac:dyDescent="0.3">
      <c r="A55" s="128" t="s">
        <v>177</v>
      </c>
      <c r="B55" s="10"/>
      <c r="C55" s="45">
        <v>3.7500000000000001E-4</v>
      </c>
      <c r="D55" s="38">
        <f t="shared" si="0"/>
        <v>0</v>
      </c>
      <c r="E55" s="47">
        <v>2.5999999999999999E-3</v>
      </c>
      <c r="F55" s="39">
        <f t="shared" si="1"/>
        <v>0</v>
      </c>
      <c r="G55" s="39">
        <v>1</v>
      </c>
      <c r="H55" s="35">
        <f t="shared" si="2"/>
        <v>0</v>
      </c>
      <c r="I55" s="35"/>
      <c r="J55" s="35"/>
      <c r="K55" s="26"/>
    </row>
    <row r="56" spans="1:29" ht="15.6" customHeight="1" x14ac:dyDescent="0.3">
      <c r="A56" s="128" t="s">
        <v>178</v>
      </c>
      <c r="B56" s="10"/>
      <c r="C56" s="45">
        <v>2.2499999999999999E-4</v>
      </c>
      <c r="D56" s="38">
        <f t="shared" si="0"/>
        <v>0</v>
      </c>
      <c r="E56" s="46">
        <v>2.7499999999999998E-3</v>
      </c>
      <c r="F56" s="39">
        <f t="shared" si="1"/>
        <v>0</v>
      </c>
      <c r="G56" s="39">
        <v>2</v>
      </c>
      <c r="H56" s="35">
        <f t="shared" si="2"/>
        <v>0</v>
      </c>
      <c r="I56" s="39"/>
      <c r="J56" s="39"/>
      <c r="K56" s="27"/>
    </row>
    <row r="57" spans="1:29" ht="15.6" customHeight="1" x14ac:dyDescent="0.3">
      <c r="A57" s="128" t="s">
        <v>179</v>
      </c>
      <c r="B57" s="10"/>
      <c r="C57" s="45">
        <v>5.3E-3</v>
      </c>
      <c r="D57" s="38">
        <f t="shared" si="0"/>
        <v>0</v>
      </c>
      <c r="E57" s="46">
        <v>2.7499999999999998E-3</v>
      </c>
      <c r="F57" s="39">
        <f t="shared" si="1"/>
        <v>0</v>
      </c>
      <c r="G57" s="39">
        <v>1</v>
      </c>
      <c r="H57" s="35">
        <f t="shared" si="2"/>
        <v>0</v>
      </c>
      <c r="I57" s="39"/>
      <c r="J57" s="39"/>
      <c r="K57" s="27"/>
    </row>
    <row r="58" spans="1:29" ht="15.6" customHeight="1" x14ac:dyDescent="0.3">
      <c r="A58" s="128" t="s">
        <v>180</v>
      </c>
      <c r="B58" s="10"/>
      <c r="C58" s="45">
        <v>0</v>
      </c>
      <c r="D58" s="38">
        <f t="shared" si="0"/>
        <v>0</v>
      </c>
      <c r="E58" s="46"/>
      <c r="F58" s="39">
        <f t="shared" si="1"/>
        <v>0</v>
      </c>
      <c r="G58" s="39">
        <v>0</v>
      </c>
      <c r="H58" s="35">
        <f t="shared" si="2"/>
        <v>0</v>
      </c>
      <c r="I58" s="35"/>
      <c r="J58" s="35"/>
      <c r="K58" s="27"/>
    </row>
    <row r="59" spans="1:29" ht="15.6" customHeight="1" x14ac:dyDescent="0.3">
      <c r="A59" s="134" t="s">
        <v>181</v>
      </c>
      <c r="B59" s="10"/>
      <c r="C59" s="45">
        <v>4.6000000000000001E-4</v>
      </c>
      <c r="D59" s="38">
        <f t="shared" si="0"/>
        <v>0</v>
      </c>
      <c r="E59" s="46">
        <v>4.6000000000000001E-4</v>
      </c>
      <c r="F59" s="39">
        <f t="shared" si="1"/>
        <v>0</v>
      </c>
      <c r="G59" s="39">
        <v>1</v>
      </c>
      <c r="H59" s="35">
        <f t="shared" si="2"/>
        <v>0</v>
      </c>
      <c r="I59" s="39"/>
      <c r="J59" s="39"/>
      <c r="K59" s="27"/>
    </row>
    <row r="60" spans="1:29" x14ac:dyDescent="0.3">
      <c r="A60" s="130" t="s">
        <v>182</v>
      </c>
      <c r="B60" s="10"/>
      <c r="C60" s="49">
        <v>7.2000000000000005E-4</v>
      </c>
      <c r="D60" s="41">
        <f t="shared" si="0"/>
        <v>0</v>
      </c>
      <c r="E60" s="35">
        <v>5.4999999999999997E-3</v>
      </c>
      <c r="F60" s="42">
        <f t="shared" si="1"/>
        <v>0</v>
      </c>
      <c r="G60" s="42">
        <v>1</v>
      </c>
      <c r="H60" s="35">
        <f t="shared" si="2"/>
        <v>0</v>
      </c>
      <c r="I60" s="35"/>
      <c r="J60" s="35"/>
      <c r="K60" s="21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x14ac:dyDescent="0.3">
      <c r="A61" s="130" t="s">
        <v>183</v>
      </c>
      <c r="B61" s="10"/>
      <c r="C61" s="49">
        <v>7.2000000000000005E-4</v>
      </c>
      <c r="D61" s="41">
        <f t="shared" si="0"/>
        <v>0</v>
      </c>
      <c r="E61" s="35">
        <v>5.4999999999999997E-3</v>
      </c>
      <c r="F61" s="42">
        <f t="shared" si="1"/>
        <v>0</v>
      </c>
      <c r="G61" s="42">
        <v>2</v>
      </c>
      <c r="H61" s="35">
        <f t="shared" si="2"/>
        <v>0</v>
      </c>
      <c r="I61" s="35"/>
      <c r="J61" s="35"/>
      <c r="K61" s="21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x14ac:dyDescent="0.3">
      <c r="A62" s="130" t="s">
        <v>184</v>
      </c>
      <c r="B62" s="10"/>
      <c r="C62" s="49">
        <v>7.2000000000000005E-4</v>
      </c>
      <c r="D62" s="41">
        <f t="shared" si="0"/>
        <v>0</v>
      </c>
      <c r="E62" s="35">
        <v>5.4999999999999997E-3</v>
      </c>
      <c r="F62" s="42">
        <f t="shared" si="1"/>
        <v>0</v>
      </c>
      <c r="G62" s="42">
        <v>3</v>
      </c>
      <c r="H62" s="35">
        <f t="shared" si="2"/>
        <v>0</v>
      </c>
      <c r="I62" s="35">
        <v>0.15</v>
      </c>
      <c r="J62" s="35">
        <f t="shared" ref="J62:J69" si="3">B62*I62</f>
        <v>0</v>
      </c>
      <c r="K62" s="21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 x14ac:dyDescent="0.3">
      <c r="A63" s="130" t="s">
        <v>185</v>
      </c>
      <c r="B63" s="10"/>
      <c r="C63" s="49">
        <v>8.5999999999999998E-4</v>
      </c>
      <c r="D63" s="41">
        <f t="shared" si="0"/>
        <v>0</v>
      </c>
      <c r="E63" s="35">
        <v>8.3000000000000001E-3</v>
      </c>
      <c r="F63" s="42">
        <f t="shared" si="1"/>
        <v>0</v>
      </c>
      <c r="G63" s="42">
        <v>6</v>
      </c>
      <c r="H63" s="35">
        <f t="shared" si="2"/>
        <v>0</v>
      </c>
      <c r="I63" s="35">
        <v>0.15</v>
      </c>
      <c r="J63" s="35">
        <f t="shared" si="3"/>
        <v>0</v>
      </c>
      <c r="K63" s="21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x14ac:dyDescent="0.3">
      <c r="A64" s="130" t="s">
        <v>187</v>
      </c>
      <c r="B64" s="10"/>
      <c r="C64" s="49">
        <v>6.3000000000000003E-4</v>
      </c>
      <c r="D64" s="41">
        <f t="shared" si="0"/>
        <v>0</v>
      </c>
      <c r="E64" s="35">
        <v>7.7999999999999996E-3</v>
      </c>
      <c r="F64" s="42">
        <f t="shared" si="1"/>
        <v>0</v>
      </c>
      <c r="G64" s="42">
        <v>3</v>
      </c>
      <c r="H64" s="35">
        <f t="shared" si="2"/>
        <v>0</v>
      </c>
      <c r="I64" s="35">
        <v>0.15</v>
      </c>
      <c r="J64" s="35">
        <f t="shared" si="3"/>
        <v>0</v>
      </c>
      <c r="K64" s="21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 x14ac:dyDescent="0.3">
      <c r="A65" s="130" t="s">
        <v>188</v>
      </c>
      <c r="B65" s="10"/>
      <c r="C65" s="49">
        <v>7.3999999999999999E-4</v>
      </c>
      <c r="D65" s="41">
        <f t="shared" si="0"/>
        <v>0</v>
      </c>
      <c r="E65" s="35">
        <v>3.0999999999999999E-3</v>
      </c>
      <c r="F65" s="42">
        <f t="shared" si="1"/>
        <v>0</v>
      </c>
      <c r="G65" s="42">
        <v>2</v>
      </c>
      <c r="H65" s="35">
        <f t="shared" si="2"/>
        <v>0</v>
      </c>
      <c r="I65" s="35">
        <v>0.15</v>
      </c>
      <c r="J65" s="35">
        <f t="shared" si="3"/>
        <v>0</v>
      </c>
      <c r="K65" s="21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x14ac:dyDescent="0.3">
      <c r="A66" s="130" t="s">
        <v>189</v>
      </c>
      <c r="B66" s="10"/>
      <c r="C66" s="49">
        <v>1.0500000000000001E-2</v>
      </c>
      <c r="D66" s="41">
        <f t="shared" si="0"/>
        <v>0</v>
      </c>
      <c r="E66" s="35">
        <v>1.0500000000000001E-2</v>
      </c>
      <c r="F66" s="42">
        <f t="shared" si="1"/>
        <v>0</v>
      </c>
      <c r="G66" s="42">
        <v>2</v>
      </c>
      <c r="H66" s="35">
        <f t="shared" si="2"/>
        <v>0</v>
      </c>
      <c r="I66" s="35">
        <v>0.15</v>
      </c>
      <c r="J66" s="35">
        <f t="shared" si="3"/>
        <v>0</v>
      </c>
      <c r="K66" s="21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x14ac:dyDescent="0.3">
      <c r="A67" s="130" t="s">
        <v>190</v>
      </c>
      <c r="B67" s="10"/>
      <c r="C67" s="49">
        <v>3.3500000000000001E-3</v>
      </c>
      <c r="D67" s="41">
        <f t="shared" si="0"/>
        <v>0</v>
      </c>
      <c r="E67" s="35">
        <v>3.3500000000000001E-3</v>
      </c>
      <c r="F67" s="42">
        <f t="shared" si="1"/>
        <v>0</v>
      </c>
      <c r="G67" s="42">
        <v>1</v>
      </c>
      <c r="H67" s="35">
        <f t="shared" si="2"/>
        <v>0</v>
      </c>
      <c r="I67" s="35">
        <v>0.15</v>
      </c>
      <c r="J67" s="35">
        <f t="shared" si="3"/>
        <v>0</v>
      </c>
      <c r="K67" s="21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:29" x14ac:dyDescent="0.3">
      <c r="A68" s="130" t="s">
        <v>217</v>
      </c>
      <c r="B68" s="10">
        <v>0</v>
      </c>
      <c r="C68" s="49">
        <v>0</v>
      </c>
      <c r="D68" s="41">
        <f t="shared" si="0"/>
        <v>0</v>
      </c>
      <c r="E68" s="35">
        <v>2.4500000000000001E-2</v>
      </c>
      <c r="F68" s="42">
        <f>IF(B68=0,(B66+B67)*E68,B68*E68)</f>
        <v>0</v>
      </c>
      <c r="G68" s="42"/>
      <c r="H68" s="35"/>
      <c r="I68" s="35"/>
      <c r="J68" s="35"/>
      <c r="K68" s="21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x14ac:dyDescent="0.3">
      <c r="A69" s="130" t="s">
        <v>191</v>
      </c>
      <c r="B69" s="10"/>
      <c r="C69" s="49">
        <v>6.8999999999999997E-4</v>
      </c>
      <c r="D69" s="41">
        <f t="shared" si="0"/>
        <v>0</v>
      </c>
      <c r="E69" s="35">
        <v>3.3E-3</v>
      </c>
      <c r="F69" s="42">
        <f t="shared" si="1"/>
        <v>0</v>
      </c>
      <c r="G69" s="42">
        <v>1</v>
      </c>
      <c r="H69" s="35">
        <f t="shared" si="2"/>
        <v>0</v>
      </c>
      <c r="I69" s="35">
        <v>0.15</v>
      </c>
      <c r="J69" s="35">
        <f t="shared" si="3"/>
        <v>0</v>
      </c>
      <c r="K69" s="21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ht="15.6" customHeight="1" x14ac:dyDescent="0.3">
      <c r="A70" s="154" t="s">
        <v>137</v>
      </c>
      <c r="B70" s="10"/>
      <c r="C70" s="45"/>
      <c r="D70" s="38"/>
      <c r="E70" s="46"/>
      <c r="F70" s="39"/>
      <c r="G70" s="39"/>
      <c r="H70" s="35"/>
      <c r="I70" s="35"/>
      <c r="J70" s="35"/>
      <c r="K70" s="2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ht="15.6" customHeight="1" x14ac:dyDescent="0.3">
      <c r="A71" s="128" t="s">
        <v>192</v>
      </c>
      <c r="B71" s="10"/>
      <c r="C71" s="45">
        <v>4.6000000000000001E-4</v>
      </c>
      <c r="D71" s="38">
        <f t="shared" ref="D71:D75" si="4">B71*C71</f>
        <v>0</v>
      </c>
      <c r="E71" s="46">
        <v>4.6000000000000001E-4</v>
      </c>
      <c r="F71" s="39">
        <f t="shared" ref="F71:F75" si="5">B71*E71</f>
        <v>0</v>
      </c>
      <c r="G71" s="39">
        <v>1</v>
      </c>
      <c r="H71" s="35">
        <f>B71*G71</f>
        <v>0</v>
      </c>
      <c r="I71" s="35"/>
      <c r="J71" s="35"/>
      <c r="K71" s="26"/>
    </row>
    <row r="72" spans="1:29" ht="15.6" customHeight="1" x14ac:dyDescent="0.3">
      <c r="A72" s="128" t="s">
        <v>193</v>
      </c>
      <c r="B72" s="10"/>
      <c r="C72" s="45">
        <v>9.2000000000000003E-4</v>
      </c>
      <c r="D72" s="38">
        <f t="shared" si="4"/>
        <v>0</v>
      </c>
      <c r="E72" s="46">
        <v>9.2000000000000003E-4</v>
      </c>
      <c r="F72" s="39">
        <f t="shared" si="5"/>
        <v>0</v>
      </c>
      <c r="G72" s="39">
        <v>2</v>
      </c>
      <c r="H72" s="35">
        <f>B72*G72</f>
        <v>0</v>
      </c>
      <c r="I72" s="35"/>
      <c r="J72" s="35"/>
      <c r="K72" s="26"/>
    </row>
    <row r="73" spans="1:29" ht="15.6" customHeight="1" x14ac:dyDescent="0.3">
      <c r="A73" s="128" t="s">
        <v>194</v>
      </c>
      <c r="B73" s="10"/>
      <c r="C73" s="45">
        <v>4.0000000000000001E-3</v>
      </c>
      <c r="D73" s="38">
        <f t="shared" si="4"/>
        <v>0</v>
      </c>
      <c r="E73" s="46">
        <v>4.0000000000000001E-3</v>
      </c>
      <c r="F73" s="39">
        <f t="shared" si="5"/>
        <v>0</v>
      </c>
      <c r="G73" s="39">
        <v>1</v>
      </c>
      <c r="H73" s="35">
        <f>B73*G73</f>
        <v>0</v>
      </c>
      <c r="I73" s="35"/>
      <c r="J73" s="35"/>
      <c r="K73" s="26"/>
    </row>
    <row r="74" spans="1:29" ht="15.6" customHeight="1" x14ac:dyDescent="0.3">
      <c r="A74" s="128" t="s">
        <v>218</v>
      </c>
      <c r="B74" s="10"/>
      <c r="C74" s="45">
        <v>4.1999999999999997E-3</v>
      </c>
      <c r="D74" s="38">
        <f t="shared" si="4"/>
        <v>0</v>
      </c>
      <c r="E74" s="46">
        <v>4.1999999999999997E-3</v>
      </c>
      <c r="F74" s="39">
        <f t="shared" si="5"/>
        <v>0</v>
      </c>
      <c r="G74" s="39">
        <v>1</v>
      </c>
      <c r="H74" s="35">
        <f>B74*G74</f>
        <v>0</v>
      </c>
      <c r="I74" s="35">
        <v>0.15</v>
      </c>
      <c r="J74" s="35">
        <f t="shared" ref="J74" si="6">B74*I74</f>
        <v>0</v>
      </c>
      <c r="K74" s="26"/>
    </row>
    <row r="75" spans="1:29" ht="15.6" customHeight="1" x14ac:dyDescent="0.3">
      <c r="A75" s="128" t="s">
        <v>195</v>
      </c>
      <c r="B75" s="10"/>
      <c r="C75" s="45">
        <v>0</v>
      </c>
      <c r="D75" s="38">
        <f t="shared" si="4"/>
        <v>0</v>
      </c>
      <c r="E75" s="46">
        <v>2E-3</v>
      </c>
      <c r="F75" s="39">
        <f t="shared" si="5"/>
        <v>0</v>
      </c>
      <c r="G75" s="39">
        <v>0</v>
      </c>
      <c r="H75" s="35">
        <f>B75*G75</f>
        <v>0</v>
      </c>
      <c r="I75" s="35"/>
      <c r="J75" s="35"/>
      <c r="K75" s="26"/>
    </row>
    <row r="76" spans="1:29" ht="15.6" customHeight="1" x14ac:dyDescent="0.3">
      <c r="A76" s="128"/>
      <c r="B76" s="10"/>
      <c r="C76" s="45"/>
      <c r="D76" s="46"/>
      <c r="E76" s="46"/>
      <c r="F76" s="46"/>
      <c r="G76" s="46"/>
      <c r="H76" s="46"/>
      <c r="I76" s="46"/>
      <c r="J76" s="46"/>
      <c r="K76" s="26"/>
    </row>
    <row r="77" spans="1:29" ht="15.6" customHeight="1" x14ac:dyDescent="0.3">
      <c r="A77" s="128" t="s">
        <v>7</v>
      </c>
      <c r="B77" s="10">
        <f>SUM(B7:B18,B27:B33,B34:B42,B44:B47,B52:B67,B69:B74)</f>
        <v>0</v>
      </c>
      <c r="C77" s="126" t="s">
        <v>8</v>
      </c>
      <c r="D77" s="46">
        <f>SUM(D7:D76)</f>
        <v>0</v>
      </c>
      <c r="E77" s="127" t="s">
        <v>9</v>
      </c>
      <c r="F77" s="46">
        <f>SUM(F5:F76)</f>
        <v>2.5000000000000001E-2</v>
      </c>
      <c r="G77" s="127" t="s">
        <v>38</v>
      </c>
      <c r="H77" s="46">
        <f>SUM(H7:H75)</f>
        <v>0</v>
      </c>
      <c r="I77" s="127" t="s">
        <v>186</v>
      </c>
      <c r="J77" s="46">
        <f>SUM(J7:J76)</f>
        <v>0</v>
      </c>
      <c r="K77" s="28"/>
    </row>
    <row r="78" spans="1:29" ht="16.2" thickBot="1" x14ac:dyDescent="0.35">
      <c r="A78" s="30" t="s">
        <v>197</v>
      </c>
      <c r="B78" s="15"/>
      <c r="C78" s="15" t="s">
        <v>208</v>
      </c>
      <c r="D78" s="15"/>
      <c r="E78" s="15"/>
      <c r="F78" s="15"/>
      <c r="G78" s="15"/>
      <c r="H78" s="15"/>
      <c r="I78" s="15"/>
      <c r="J78" s="15"/>
      <c r="K78" s="30"/>
    </row>
    <row r="79" spans="1:29" ht="16.8" thickTop="1" thickBot="1" x14ac:dyDescent="0.35">
      <c r="A79" s="156" t="s">
        <v>201</v>
      </c>
      <c r="C79" s="19">
        <f>VLOOKUP(A79,Sheet2!A:B,2,FALSE)</f>
        <v>3</v>
      </c>
      <c r="D79" s="16"/>
      <c r="E79" s="16"/>
      <c r="F79" s="53" t="str">
        <f>IF(F77&lt;0.4,"Load ok","above 80% load")</f>
        <v>Load ok</v>
      </c>
      <c r="G79" s="16"/>
      <c r="H79" s="16"/>
      <c r="I79" s="16"/>
      <c r="J79" s="16"/>
    </row>
    <row r="80" spans="1:29" ht="16.2" thickBot="1" x14ac:dyDescent="0.35">
      <c r="A80" s="19" t="s">
        <v>18</v>
      </c>
      <c r="C80" s="16" t="s">
        <v>39</v>
      </c>
      <c r="D80" s="16"/>
      <c r="E80" s="16"/>
      <c r="F80" s="16"/>
      <c r="G80" s="16"/>
      <c r="H80" s="16"/>
      <c r="I80" s="16"/>
      <c r="J80" s="16"/>
    </row>
    <row r="81" spans="1:3" ht="16.2" thickBot="1" x14ac:dyDescent="0.35">
      <c r="A81" s="17" t="s">
        <v>20</v>
      </c>
      <c r="C81" s="19">
        <f>VLOOKUP(A81,Sheet2!A:B,2,FALSE)</f>
        <v>12.5</v>
      </c>
    </row>
    <row r="82" spans="1:3" ht="16.2" thickBot="1" x14ac:dyDescent="0.35">
      <c r="A82" s="19" t="s">
        <v>120</v>
      </c>
    </row>
    <row r="83" spans="1:3" ht="16.2" thickBot="1" x14ac:dyDescent="0.35">
      <c r="A83" s="17">
        <v>2000</v>
      </c>
    </row>
    <row r="84" spans="1:3" ht="16.2" thickBot="1" x14ac:dyDescent="0.35">
      <c r="A84" s="19" t="s">
        <v>40</v>
      </c>
    </row>
    <row r="85" spans="1:3" ht="16.8" thickTop="1" thickBot="1" x14ac:dyDescent="0.35">
      <c r="A85" s="51">
        <f>PRODUCT(((A83*((C81/1000)*2))+J77)*F77)</f>
        <v>1.25</v>
      </c>
      <c r="C85" s="53" t="str">
        <f>IF(A85&lt;8,"Loop ok","Loop not ok")</f>
        <v>Loop ok</v>
      </c>
    </row>
    <row r="86" spans="1:3" ht="16.2" thickBot="1" x14ac:dyDescent="0.35">
      <c r="A86" s="52" t="s">
        <v>119</v>
      </c>
    </row>
    <row r="87" spans="1:3" ht="16.2" thickBot="1" x14ac:dyDescent="0.35">
      <c r="A87" s="54">
        <f>MIN(2000,(PRODUCT((6/F77)/((C81/1000)*2))))</f>
        <v>2000</v>
      </c>
    </row>
  </sheetData>
  <sheetProtection algorithmName="SHA-512" hashValue="U7B36Mkc3hzzRGXhP1TQTM7TpIQHBHI5V++9D+EeCZFKdiWZoqza8pr0ddUhQ2ScUtH0PFUr9B96nCRFxIzY3w==" saltValue="vakjHoH1/QqbDD6wMUIKzg==" spinCount="100000" sheet="1" selectLockedCells="1"/>
  <mergeCells count="2">
    <mergeCell ref="I2:I4"/>
    <mergeCell ref="J2:J4"/>
  </mergeCells>
  <conditionalFormatting sqref="A85">
    <cfRule type="cellIs" dxfId="6" priority="5" stopIfTrue="1" operator="lessThan">
      <formula>8</formula>
    </cfRule>
    <cfRule type="cellIs" dxfId="5" priority="6" stopIfTrue="1" operator="greaterThan">
      <formula>8</formula>
    </cfRule>
  </conditionalFormatting>
  <conditionalFormatting sqref="C85">
    <cfRule type="cellIs" dxfId="4" priority="1" operator="equal">
      <formula>"Loop not ok"</formula>
    </cfRule>
    <cfRule type="cellIs" dxfId="3" priority="7" stopIfTrue="1" operator="equal">
      <formula>"Loop Ok"</formula>
    </cfRule>
  </conditionalFormatting>
  <conditionalFormatting sqref="F77">
    <cfRule type="cellIs" dxfId="2" priority="2" operator="lessThan">
      <formula>0.4</formula>
    </cfRule>
    <cfRule type="cellIs" dxfId="1" priority="3" operator="greaterThan">
      <formula>0.4</formula>
    </cfRule>
    <cfRule type="cellIs" dxfId="0" priority="4" operator="greaterThan">
      <formula>0.4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2" orientation="portrait" r:id="rId1"/>
  <ignoredErrors>
    <ignoredError sqref="F6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212406-838F-4CE7-9E34-8B51558E34DD}">
          <x14:formula1>
            <xm:f>Sheet2!$A$25:$A$33</xm:f>
          </x14:formula1>
          <xm:sqref>A79</xm:sqref>
        </x14:dataValidation>
        <x14:dataValidation type="list" allowBlank="1" showInputMessage="1" showErrorMessage="1" xr:uid="{EAC5C83C-5026-44E2-8DF5-2D657B41C431}">
          <x14:formula1>
            <xm:f>Sheet2!$A$6:$A$22</xm:f>
          </x14:formula1>
          <xm:sqref>A81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D33"/>
  <sheetViews>
    <sheetView topLeftCell="A4" workbookViewId="0">
      <selection activeCell="D26" sqref="D26"/>
    </sheetView>
  </sheetViews>
  <sheetFormatPr defaultColWidth="8.88671875" defaultRowHeight="14.4" x14ac:dyDescent="0.3"/>
  <cols>
    <col min="1" max="1" width="32.6640625" customWidth="1"/>
    <col min="2" max="2" width="20.5546875" customWidth="1"/>
    <col min="3" max="3" width="21.33203125" customWidth="1"/>
    <col min="4" max="4" width="25.33203125" customWidth="1"/>
  </cols>
  <sheetData>
    <row r="3" spans="1:4" x14ac:dyDescent="0.3">
      <c r="A3" t="s">
        <v>10</v>
      </c>
    </row>
    <row r="4" spans="1:4" x14ac:dyDescent="0.3">
      <c r="B4" t="s">
        <v>15</v>
      </c>
      <c r="C4" t="s">
        <v>16</v>
      </c>
      <c r="D4" t="s">
        <v>17</v>
      </c>
    </row>
    <row r="5" spans="1:4" x14ac:dyDescent="0.3">
      <c r="A5" t="s">
        <v>11</v>
      </c>
      <c r="B5" t="s">
        <v>12</v>
      </c>
      <c r="C5" t="s">
        <v>13</v>
      </c>
      <c r="D5" t="s">
        <v>14</v>
      </c>
    </row>
    <row r="6" spans="1:4" x14ac:dyDescent="0.3">
      <c r="A6" t="s">
        <v>19</v>
      </c>
      <c r="B6">
        <v>19</v>
      </c>
      <c r="C6">
        <v>0.47499999999999998</v>
      </c>
      <c r="D6">
        <v>0.17499999999999999</v>
      </c>
    </row>
    <row r="7" spans="1:4" x14ac:dyDescent="0.3">
      <c r="A7" t="s">
        <v>20</v>
      </c>
      <c r="B7">
        <v>12.5</v>
      </c>
      <c r="C7">
        <v>0.5</v>
      </c>
      <c r="D7">
        <v>0.20499999999999999</v>
      </c>
    </row>
    <row r="8" spans="1:4" x14ac:dyDescent="0.3">
      <c r="A8" t="s">
        <v>21</v>
      </c>
      <c r="B8">
        <v>7.5</v>
      </c>
      <c r="C8">
        <v>0.375</v>
      </c>
      <c r="D8">
        <v>0.24</v>
      </c>
    </row>
    <row r="9" spans="1:4" x14ac:dyDescent="0.3">
      <c r="A9" t="s">
        <v>22</v>
      </c>
      <c r="B9">
        <v>16.100000000000001</v>
      </c>
      <c r="C9">
        <v>0.40300000000000002</v>
      </c>
      <c r="D9">
        <v>0.17499999999999999</v>
      </c>
    </row>
    <row r="10" spans="1:4" x14ac:dyDescent="0.3">
      <c r="A10" t="s">
        <v>23</v>
      </c>
      <c r="B10">
        <v>12.1</v>
      </c>
      <c r="C10">
        <v>0.48399999999999999</v>
      </c>
      <c r="D10">
        <v>0.20499999999999999</v>
      </c>
    </row>
    <row r="11" spans="1:4" x14ac:dyDescent="0.3">
      <c r="A11" t="s">
        <v>24</v>
      </c>
      <c r="B11">
        <v>7.4</v>
      </c>
      <c r="C11">
        <v>0.371</v>
      </c>
      <c r="D11">
        <v>0.24</v>
      </c>
    </row>
    <row r="12" spans="1:4" x14ac:dyDescent="0.3">
      <c r="A12" t="s">
        <v>25</v>
      </c>
      <c r="B12">
        <v>16.100000000000001</v>
      </c>
      <c r="C12">
        <v>0.72</v>
      </c>
      <c r="D12">
        <v>0.15</v>
      </c>
    </row>
    <row r="13" spans="1:4" x14ac:dyDescent="0.3">
      <c r="A13" t="s">
        <v>26</v>
      </c>
      <c r="B13">
        <v>12.1</v>
      </c>
      <c r="C13">
        <v>0.68</v>
      </c>
      <c r="D13">
        <v>0.17</v>
      </c>
    </row>
    <row r="14" spans="1:4" x14ac:dyDescent="0.3">
      <c r="A14" t="s">
        <v>27</v>
      </c>
      <c r="B14">
        <v>7.4</v>
      </c>
      <c r="C14">
        <v>0.62</v>
      </c>
      <c r="D14">
        <v>0.21</v>
      </c>
    </row>
    <row r="15" spans="1:4" x14ac:dyDescent="0.3">
      <c r="A15" t="s">
        <v>28</v>
      </c>
      <c r="B15">
        <v>17.2</v>
      </c>
      <c r="C15">
        <v>0.56000000000000005</v>
      </c>
      <c r="D15">
        <v>0.18</v>
      </c>
    </row>
    <row r="16" spans="1:4" x14ac:dyDescent="0.3">
      <c r="A16" t="s">
        <v>29</v>
      </c>
      <c r="B16">
        <v>11.5</v>
      </c>
      <c r="C16">
        <v>0.53400000000000003</v>
      </c>
      <c r="D16">
        <v>0.19</v>
      </c>
    </row>
    <row r="17" spans="1:4" x14ac:dyDescent="0.3">
      <c r="A17" t="s">
        <v>30</v>
      </c>
      <c r="B17">
        <v>6.9</v>
      </c>
      <c r="C17">
        <v>0.52</v>
      </c>
      <c r="D17">
        <v>0.22</v>
      </c>
    </row>
    <row r="18" spans="1:4" x14ac:dyDescent="0.3">
      <c r="A18" t="s">
        <v>31</v>
      </c>
      <c r="B18">
        <v>8.8000000000000007</v>
      </c>
      <c r="C18">
        <v>0.68</v>
      </c>
      <c r="D18">
        <v>0.15</v>
      </c>
    </row>
    <row r="19" spans="1:4" x14ac:dyDescent="0.3">
      <c r="A19" t="s">
        <v>32</v>
      </c>
      <c r="B19">
        <v>12.1</v>
      </c>
      <c r="C19">
        <v>0.29699999999999999</v>
      </c>
      <c r="D19">
        <v>0.13</v>
      </c>
    </row>
    <row r="20" spans="1:4" x14ac:dyDescent="0.3">
      <c r="A20" t="s">
        <v>33</v>
      </c>
      <c r="B20">
        <v>7.41</v>
      </c>
      <c r="C20">
        <v>0.26</v>
      </c>
      <c r="D20">
        <v>0.14499999999999999</v>
      </c>
    </row>
    <row r="21" spans="1:4" x14ac:dyDescent="0.3">
      <c r="A21" t="s">
        <v>34</v>
      </c>
      <c r="B21">
        <v>12.1</v>
      </c>
      <c r="C21">
        <v>0.38</v>
      </c>
      <c r="D21">
        <v>0.125</v>
      </c>
    </row>
    <row r="22" spans="1:4" x14ac:dyDescent="0.3">
      <c r="A22" t="s">
        <v>35</v>
      </c>
      <c r="B22">
        <v>7.41</v>
      </c>
      <c r="C22">
        <v>0.28000000000000003</v>
      </c>
      <c r="D22">
        <v>0.155</v>
      </c>
    </row>
    <row r="25" spans="1:4" x14ac:dyDescent="0.3">
      <c r="A25" t="s">
        <v>198</v>
      </c>
      <c r="B25" t="s">
        <v>199</v>
      </c>
    </row>
    <row r="26" spans="1:4" x14ac:dyDescent="0.3">
      <c r="A26" t="s">
        <v>200</v>
      </c>
      <c r="B26">
        <v>8</v>
      </c>
    </row>
    <row r="27" spans="1:4" x14ac:dyDescent="0.3">
      <c r="A27" t="s">
        <v>201</v>
      </c>
      <c r="B27">
        <v>3</v>
      </c>
    </row>
    <row r="28" spans="1:4" x14ac:dyDescent="0.3">
      <c r="A28" t="s">
        <v>202</v>
      </c>
      <c r="B28">
        <v>3</v>
      </c>
    </row>
    <row r="29" spans="1:4" x14ac:dyDescent="0.3">
      <c r="A29" t="s">
        <v>203</v>
      </c>
      <c r="B29">
        <v>3</v>
      </c>
    </row>
    <row r="30" spans="1:4" x14ac:dyDescent="0.3">
      <c r="A30" t="s">
        <v>204</v>
      </c>
      <c r="B30">
        <v>3</v>
      </c>
    </row>
    <row r="31" spans="1:4" x14ac:dyDescent="0.3">
      <c r="A31" t="s">
        <v>205</v>
      </c>
      <c r="B31">
        <v>3</v>
      </c>
    </row>
    <row r="32" spans="1:4" x14ac:dyDescent="0.3">
      <c r="A32" t="s">
        <v>206</v>
      </c>
      <c r="B32">
        <v>3</v>
      </c>
    </row>
    <row r="33" spans="1:2" x14ac:dyDescent="0.3">
      <c r="A33" t="s">
        <v>207</v>
      </c>
      <c r="B33">
        <v>3</v>
      </c>
    </row>
  </sheetData>
  <sheetProtection algorithmName="SHA-512" hashValue="hGkxihDnFRms8ssB2Zf3cBGvAdxS+bY0V5q9sAzALYYxMB+g8wopPoXiiWDTgM+KmWbC89f9vBPN0lnCuvCg/Q==" saltValue="S6beFTyW77EXFCVwtSAnuw==" spinCount="100000" sheet="1" selectLockedCells="1" selectUnlockedCells="1"/>
  <phoneticPr fontId="2" type="noConversion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F383DB-AD4A-4FF8-90B5-2044593C85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Battery Calculations</vt:lpstr>
      <vt:lpstr>Loop 1</vt:lpstr>
      <vt:lpstr>Loop 2</vt:lpstr>
      <vt:lpstr>Loop 3</vt:lpstr>
      <vt:lpstr>Loop 4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Durbridge</dc:creator>
  <cp:lastModifiedBy>Mark Durbridge</cp:lastModifiedBy>
  <cp:lastPrinted>2019-08-01T08:19:45Z</cp:lastPrinted>
  <dcterms:created xsi:type="dcterms:W3CDTF">2010-02-01T15:18:33Z</dcterms:created>
  <dcterms:modified xsi:type="dcterms:W3CDTF">2024-07-26T13:39:53Z</dcterms:modified>
</cp:coreProperties>
</file>